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4-25\"/>
    </mc:Choice>
  </mc:AlternateContent>
  <xr:revisionPtr revIDLastSave="0" documentId="13_ncr:1_{70F36CD3-93BF-43AD-AD88-A740004C93DC}" xr6:coauthVersionLast="36" xr6:coauthVersionMax="47" xr10:uidLastSave="{00000000-0000-0000-0000-000000000000}"/>
  <bookViews>
    <workbookView xWindow="15330" yWindow="2775" windowWidth="10155" windowHeight="7245" xr2:uid="{00000000-000D-0000-FFFF-FFFF00000000}"/>
  </bookViews>
  <sheets>
    <sheet name="C-6" sheetId="1" r:id="rId1"/>
    <sheet name="UG ranked_2024" sheetId="9" r:id="rId2"/>
    <sheet name="Low_Productivity_2024" sheetId="10" r:id="rId3"/>
  </sheets>
  <definedNames>
    <definedName name="_xlnm.Print_Area" localSheetId="0">'C-6'!$A$1:$AI$150</definedName>
    <definedName name="_xlnm.Print_Area" localSheetId="2">Low_Productivity_2024!$A$1:$AI$74</definedName>
    <definedName name="_xlnm.Print_Area" localSheetId="1">'UG ranked_2024'!$A$1:$AI$146</definedName>
  </definedNames>
  <calcPr calcId="191029"/>
</workbook>
</file>

<file path=xl/calcChain.xml><?xml version="1.0" encoding="utf-8"?>
<calcChain xmlns="http://schemas.openxmlformats.org/spreadsheetml/2006/main">
  <c r="AG9" i="1" l="1"/>
  <c r="AH9" i="1"/>
  <c r="AF9" i="1"/>
  <c r="AJ59" i="10"/>
  <c r="AK59" i="10"/>
  <c r="AK71" i="10"/>
  <c r="AJ71" i="10"/>
  <c r="AK70" i="10"/>
  <c r="AJ70" i="10"/>
  <c r="AK69" i="10"/>
  <c r="AJ69" i="10"/>
  <c r="AK68" i="10"/>
  <c r="AJ68" i="10"/>
  <c r="AK67" i="10"/>
  <c r="AJ67" i="10"/>
  <c r="AK66" i="10"/>
  <c r="AJ66" i="10"/>
  <c r="AK63" i="10"/>
  <c r="AJ63" i="10"/>
  <c r="AK62" i="10"/>
  <c r="AJ62" i="10"/>
  <c r="AK61" i="10"/>
  <c r="AJ61" i="10"/>
  <c r="AK60" i="10"/>
  <c r="AJ60" i="10"/>
  <c r="AK58" i="10"/>
  <c r="AJ58" i="10"/>
  <c r="AK57" i="10"/>
  <c r="AJ57" i="10"/>
  <c r="AK56" i="10"/>
  <c r="AJ56" i="10"/>
  <c r="AK55" i="10"/>
  <c r="AJ55" i="10"/>
  <c r="AK52" i="10"/>
  <c r="AJ52" i="10"/>
  <c r="AK51" i="10"/>
  <c r="AJ51" i="10"/>
  <c r="AK50" i="10"/>
  <c r="AJ50" i="10"/>
  <c r="AK49" i="10"/>
  <c r="AJ49" i="10"/>
  <c r="AK48" i="10"/>
  <c r="AJ48" i="10"/>
  <c r="AK47" i="10"/>
  <c r="AJ47" i="10"/>
  <c r="AK46" i="10"/>
  <c r="AJ46" i="10"/>
  <c r="AK45" i="10"/>
  <c r="AJ45" i="10"/>
  <c r="AK44" i="10"/>
  <c r="AJ44" i="10"/>
  <c r="AK43" i="10"/>
  <c r="AJ43" i="10"/>
  <c r="AK42" i="10"/>
  <c r="AJ42" i="10"/>
  <c r="AK41" i="10"/>
  <c r="AJ41" i="10"/>
  <c r="AK37" i="10"/>
  <c r="AJ37" i="10"/>
  <c r="AK36" i="10"/>
  <c r="AJ36" i="10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AJ15" i="10"/>
  <c r="AK15" i="10"/>
  <c r="AJ16" i="10"/>
  <c r="AK16" i="10"/>
  <c r="AE72" i="10"/>
  <c r="AD72" i="10"/>
  <c r="AC72" i="10"/>
  <c r="AB72" i="10"/>
  <c r="AA72" i="10"/>
  <c r="Z72" i="10"/>
  <c r="Y72" i="10"/>
  <c r="X72" i="10"/>
  <c r="V72" i="10"/>
  <c r="T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B72" i="10"/>
  <c r="AI71" i="10"/>
  <c r="AG71" i="10" s="1"/>
  <c r="AH71" i="10"/>
  <c r="AI70" i="10"/>
  <c r="AG70" i="10" s="1"/>
  <c r="AH70" i="10"/>
  <c r="AI69" i="10"/>
  <c r="AH69" i="10"/>
  <c r="AG69" i="10"/>
  <c r="AF69" i="10"/>
  <c r="W69" i="10"/>
  <c r="U69" i="10"/>
  <c r="R69" i="10"/>
  <c r="AI68" i="10"/>
  <c r="AI67" i="10"/>
  <c r="AG67" i="10" s="1"/>
  <c r="AH67" i="10"/>
  <c r="U67" i="10"/>
  <c r="S67" i="10"/>
  <c r="S72" i="10" s="1"/>
  <c r="R67" i="10"/>
  <c r="AI66" i="10"/>
  <c r="AG66" i="10"/>
  <c r="AF66" i="10"/>
  <c r="W66" i="10"/>
  <c r="U66" i="10"/>
  <c r="R66" i="10"/>
  <c r="R72" i="10" s="1"/>
  <c r="AE64" i="10"/>
  <c r="AD64" i="10"/>
  <c r="AC64" i="10"/>
  <c r="AB64" i="10"/>
  <c r="AA64" i="10"/>
  <c r="Z64" i="10"/>
  <c r="Y64" i="10"/>
  <c r="X64" i="10"/>
  <c r="V64" i="10"/>
  <c r="T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AI63" i="10"/>
  <c r="AF63" i="10" s="1"/>
  <c r="AH63" i="10"/>
  <c r="AG63" i="10"/>
  <c r="U63" i="10"/>
  <c r="S63" i="10"/>
  <c r="R63" i="10"/>
  <c r="AI62" i="10"/>
  <c r="AG62" i="10"/>
  <c r="AF62" i="10"/>
  <c r="U62" i="10"/>
  <c r="S62" i="10"/>
  <c r="R62" i="10"/>
  <c r="AI61" i="10"/>
  <c r="AH61" i="10" s="1"/>
  <c r="AF61" i="10"/>
  <c r="AI60" i="10"/>
  <c r="AF60" i="10"/>
  <c r="W60" i="10"/>
  <c r="U60" i="10"/>
  <c r="S60" i="10"/>
  <c r="R60" i="10"/>
  <c r="AI59" i="10"/>
  <c r="AH59" i="10" s="1"/>
  <c r="AF59" i="10"/>
  <c r="W59" i="10"/>
  <c r="U59" i="10"/>
  <c r="S59" i="10"/>
  <c r="R59" i="10"/>
  <c r="AI58" i="10"/>
  <c r="AH58" i="10" s="1"/>
  <c r="AF58" i="10"/>
  <c r="W58" i="10"/>
  <c r="R58" i="10"/>
  <c r="R64" i="10" s="1"/>
  <c r="AI57" i="10"/>
  <c r="AH57" i="10"/>
  <c r="AG57" i="10"/>
  <c r="AF57" i="10"/>
  <c r="AI56" i="10"/>
  <c r="AH56" i="10"/>
  <c r="AG56" i="10"/>
  <c r="AF56" i="10"/>
  <c r="S56" i="10"/>
  <c r="AI55" i="10"/>
  <c r="AG55" i="10" s="1"/>
  <c r="W55" i="10"/>
  <c r="W64" i="10" s="1"/>
  <c r="U55" i="10"/>
  <c r="U64" i="10" s="1"/>
  <c r="S55" i="10"/>
  <c r="AE53" i="10"/>
  <c r="AD53" i="10"/>
  <c r="AC53" i="10"/>
  <c r="AI53" i="10" s="1"/>
  <c r="AB53" i="10"/>
  <c r="AA53" i="10"/>
  <c r="Z53" i="10"/>
  <c r="Y53" i="10"/>
  <c r="X53" i="10"/>
  <c r="V53" i="10"/>
  <c r="T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I52" i="10"/>
  <c r="AH52" i="10" s="1"/>
  <c r="AI51" i="10"/>
  <c r="AH51" i="10"/>
  <c r="AG51" i="10"/>
  <c r="AF51" i="10"/>
  <c r="AI50" i="10"/>
  <c r="AH50" i="10" s="1"/>
  <c r="AF50" i="10"/>
  <c r="AI49" i="10"/>
  <c r="AH49" i="10" s="1"/>
  <c r="W49" i="10"/>
  <c r="U49" i="10"/>
  <c r="S49" i="10"/>
  <c r="R49" i="10"/>
  <c r="AI48" i="10"/>
  <c r="AH48" i="10" s="1"/>
  <c r="AF48" i="10"/>
  <c r="AI47" i="10"/>
  <c r="AH47" i="10" s="1"/>
  <c r="S47" i="10"/>
  <c r="R47" i="10"/>
  <c r="AI46" i="10"/>
  <c r="AH46" i="10"/>
  <c r="AG46" i="10"/>
  <c r="AF46" i="10"/>
  <c r="AI45" i="10"/>
  <c r="AH45" i="10" s="1"/>
  <c r="W45" i="10"/>
  <c r="W53" i="10" s="1"/>
  <c r="U45" i="10"/>
  <c r="AI44" i="10"/>
  <c r="AF44" i="10" s="1"/>
  <c r="AI43" i="10"/>
  <c r="AG43" i="10" s="1"/>
  <c r="AH43" i="10"/>
  <c r="R43" i="10"/>
  <c r="AI42" i="10"/>
  <c r="AI41" i="10"/>
  <c r="S41" i="10"/>
  <c r="R41" i="10"/>
  <c r="R53" i="10" s="1"/>
  <c r="AG39" i="10"/>
  <c r="AE39" i="10"/>
  <c r="AD39" i="10"/>
  <c r="AC39" i="10"/>
  <c r="AI39" i="10" s="1"/>
  <c r="AF39" i="10" s="1"/>
  <c r="AB39" i="10"/>
  <c r="AA39" i="10"/>
  <c r="Z39" i="10"/>
  <c r="Y39" i="10"/>
  <c r="X39" i="10"/>
  <c r="V39" i="10"/>
  <c r="T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I38" i="10"/>
  <c r="AH38" i="10"/>
  <c r="AG38" i="10"/>
  <c r="AF38" i="10"/>
  <c r="AI37" i="10"/>
  <c r="AH37" i="10"/>
  <c r="AI36" i="10"/>
  <c r="W36" i="10"/>
  <c r="U36" i="10"/>
  <c r="S36" i="10"/>
  <c r="AI35" i="10"/>
  <c r="AH35" i="10" s="1"/>
  <c r="AG35" i="10"/>
  <c r="AF35" i="10"/>
  <c r="AI34" i="10"/>
  <c r="AG34" i="10" s="1"/>
  <c r="AF34" i="10"/>
  <c r="W34" i="10"/>
  <c r="U34" i="10"/>
  <c r="AH34" i="10" s="1"/>
  <c r="S34" i="10"/>
  <c r="AI33" i="10"/>
  <c r="AH33" i="10" s="1"/>
  <c r="AG33" i="10"/>
  <c r="W33" i="10"/>
  <c r="U33" i="10"/>
  <c r="S33" i="10"/>
  <c r="AI32" i="10"/>
  <c r="AF32" i="10" s="1"/>
  <c r="W32" i="10"/>
  <c r="S32" i="10"/>
  <c r="AI31" i="10"/>
  <c r="AH31" i="10" s="1"/>
  <c r="AG31" i="10"/>
  <c r="AF31" i="10"/>
  <c r="AI30" i="10"/>
  <c r="AH30" i="10" s="1"/>
  <c r="AG30" i="10"/>
  <c r="AF30" i="10"/>
  <c r="W30" i="10"/>
  <c r="U30" i="10"/>
  <c r="S30" i="10"/>
  <c r="R30" i="10"/>
  <c r="AI29" i="10"/>
  <c r="AH29" i="10" s="1"/>
  <c r="AG29" i="10"/>
  <c r="AF29" i="10"/>
  <c r="AI28" i="10"/>
  <c r="AH28" i="10" s="1"/>
  <c r="AG28" i="10"/>
  <c r="AF28" i="10"/>
  <c r="AI27" i="10"/>
  <c r="AH27" i="10" s="1"/>
  <c r="AG27" i="10"/>
  <c r="AF27" i="10"/>
  <c r="U27" i="10"/>
  <c r="S27" i="10"/>
  <c r="R27" i="10"/>
  <c r="AI26" i="10"/>
  <c r="AH26" i="10" s="1"/>
  <c r="W26" i="10"/>
  <c r="AI25" i="10"/>
  <c r="AG25" i="10" s="1"/>
  <c r="W25" i="10"/>
  <c r="U25" i="10"/>
  <c r="AH25" i="10" s="1"/>
  <c r="R25" i="10"/>
  <c r="AI24" i="10"/>
  <c r="AH24" i="10" s="1"/>
  <c r="AI23" i="10"/>
  <c r="AH23" i="10" s="1"/>
  <c r="W23" i="10"/>
  <c r="U23" i="10"/>
  <c r="S23" i="10"/>
  <c r="AI22" i="10"/>
  <c r="AG22" i="10" s="1"/>
  <c r="AH22" i="10"/>
  <c r="U22" i="10"/>
  <c r="S22" i="10"/>
  <c r="AI21" i="10"/>
  <c r="AF21" i="10" s="1"/>
  <c r="W21" i="10"/>
  <c r="U21" i="10"/>
  <c r="U39" i="10" s="1"/>
  <c r="S21" i="10"/>
  <c r="AI20" i="10"/>
  <c r="AH20" i="10"/>
  <c r="AG20" i="10"/>
  <c r="AF20" i="10"/>
  <c r="S20" i="10"/>
  <c r="AI19" i="10"/>
  <c r="AF19" i="10" s="1"/>
  <c r="AH19" i="10"/>
  <c r="AA17" i="10"/>
  <c r="O17" i="10"/>
  <c r="N17" i="10"/>
  <c r="J17" i="10"/>
  <c r="G17" i="10"/>
  <c r="F17" i="10"/>
  <c r="B17" i="10"/>
  <c r="AI16" i="10"/>
  <c r="AH16" i="10" s="1"/>
  <c r="S16" i="10"/>
  <c r="AI15" i="10"/>
  <c r="AG15" i="10" s="1"/>
  <c r="AH15" i="10"/>
  <c r="AE14" i="10"/>
  <c r="AE17" i="10" s="1"/>
  <c r="AD14" i="10"/>
  <c r="AD17" i="10" s="1"/>
  <c r="AC14" i="10"/>
  <c r="AB14" i="10"/>
  <c r="AB17" i="10" s="1"/>
  <c r="AA14" i="10"/>
  <c r="Z14" i="10"/>
  <c r="Z17" i="10" s="1"/>
  <c r="Y14" i="10"/>
  <c r="Y17" i="10" s="1"/>
  <c r="X14" i="10"/>
  <c r="X17" i="10" s="1"/>
  <c r="W14" i="10"/>
  <c r="W17" i="10" s="1"/>
  <c r="V14" i="10"/>
  <c r="V17" i="10" s="1"/>
  <c r="T14" i="10"/>
  <c r="T17" i="10" s="1"/>
  <c r="S14" i="10"/>
  <c r="Q14" i="10"/>
  <c r="Q17" i="10" s="1"/>
  <c r="P14" i="10"/>
  <c r="P17" i="10" s="1"/>
  <c r="O14" i="10"/>
  <c r="N14" i="10"/>
  <c r="M14" i="10"/>
  <c r="M17" i="10" s="1"/>
  <c r="L14" i="10"/>
  <c r="L17" i="10" s="1"/>
  <c r="K14" i="10"/>
  <c r="K17" i="10" s="1"/>
  <c r="J14" i="10"/>
  <c r="I14" i="10"/>
  <c r="I17" i="10" s="1"/>
  <c r="H14" i="10"/>
  <c r="H17" i="10" s="1"/>
  <c r="G14" i="10"/>
  <c r="F14" i="10"/>
  <c r="E14" i="10"/>
  <c r="E17" i="10" s="1"/>
  <c r="D14" i="10"/>
  <c r="D17" i="10" s="1"/>
  <c r="C14" i="10"/>
  <c r="C17" i="10" s="1"/>
  <c r="B14" i="10"/>
  <c r="AI13" i="10"/>
  <c r="AG13" i="10" s="1"/>
  <c r="R13" i="10"/>
  <c r="R14" i="10" s="1"/>
  <c r="R17" i="10" s="1"/>
  <c r="AI12" i="10"/>
  <c r="AG12" i="10" s="1"/>
  <c r="AI11" i="10"/>
  <c r="AG11" i="10" s="1"/>
  <c r="AI9" i="10"/>
  <c r="AG9" i="10" s="1"/>
  <c r="U9" i="10"/>
  <c r="U14" i="10" s="1"/>
  <c r="U17" i="10" s="1"/>
  <c r="AI8" i="10"/>
  <c r="AH8" i="10"/>
  <c r="AG8" i="10"/>
  <c r="AF8" i="10"/>
  <c r="AF45" i="10" l="1"/>
  <c r="AF15" i="10"/>
  <c r="S17" i="10"/>
  <c r="AG21" i="10"/>
  <c r="AF25" i="10"/>
  <c r="AF26" i="10"/>
  <c r="S53" i="10"/>
  <c r="AF43" i="10"/>
  <c r="AG45" i="10"/>
  <c r="U72" i="10"/>
  <c r="AH66" i="10"/>
  <c r="AF67" i="10"/>
  <c r="AF70" i="10"/>
  <c r="AF71" i="10"/>
  <c r="AI14" i="10"/>
  <c r="AF14" i="10" s="1"/>
  <c r="AF16" i="10"/>
  <c r="AG19" i="10"/>
  <c r="AH21" i="10"/>
  <c r="AF22" i="10"/>
  <c r="R39" i="10"/>
  <c r="R73" i="10" s="1"/>
  <c r="AG26" i="10"/>
  <c r="AF33" i="10"/>
  <c r="U53" i="10"/>
  <c r="AF47" i="10"/>
  <c r="AF49" i="10"/>
  <c r="AF52" i="10"/>
  <c r="S64" i="10"/>
  <c r="AH60" i="10"/>
  <c r="AH62" i="10"/>
  <c r="W72" i="10"/>
  <c r="AH14" i="10"/>
  <c r="AG14" i="10"/>
  <c r="AH9" i="10"/>
  <c r="AH11" i="10"/>
  <c r="AH13" i="10"/>
  <c r="AC17" i="10"/>
  <c r="AI17" i="10" s="1"/>
  <c r="AG23" i="10"/>
  <c r="AG36" i="10"/>
  <c r="AF36" i="10"/>
  <c r="E73" i="10"/>
  <c r="I73" i="10"/>
  <c r="M73" i="10"/>
  <c r="Q73" i="10"/>
  <c r="Y73" i="10"/>
  <c r="U73" i="10"/>
  <c r="T73" i="10"/>
  <c r="AH39" i="10"/>
  <c r="AG41" i="10"/>
  <c r="AF41" i="10"/>
  <c r="AH41" i="10"/>
  <c r="B73" i="10"/>
  <c r="F73" i="10"/>
  <c r="J73" i="10"/>
  <c r="N73" i="10"/>
  <c r="Z73" i="10"/>
  <c r="AD73" i="10"/>
  <c r="C73" i="10"/>
  <c r="G73" i="10"/>
  <c r="K73" i="10"/>
  <c r="O73" i="10"/>
  <c r="AA73" i="10"/>
  <c r="AF9" i="10"/>
  <c r="AF12" i="10"/>
  <c r="W39" i="10"/>
  <c r="W73" i="10" s="1"/>
  <c r="AH32" i="10"/>
  <c r="AG32" i="10"/>
  <c r="AG37" i="10"/>
  <c r="AF37" i="10"/>
  <c r="AG42" i="10"/>
  <c r="AF42" i="10"/>
  <c r="AH42" i="10"/>
  <c r="AF53" i="10"/>
  <c r="AH53" i="10"/>
  <c r="AG53" i="10"/>
  <c r="V73" i="10"/>
  <c r="D73" i="10"/>
  <c r="H73" i="10"/>
  <c r="L73" i="10"/>
  <c r="P73" i="10"/>
  <c r="X73" i="10"/>
  <c r="AB73" i="10"/>
  <c r="AF11" i="10"/>
  <c r="AF13" i="10"/>
  <c r="AG16" i="10"/>
  <c r="AF24" i="10"/>
  <c r="S39" i="10"/>
  <c r="S73" i="10" s="1"/>
  <c r="AF23" i="10"/>
  <c r="AG24" i="10"/>
  <c r="AH36" i="10"/>
  <c r="AH55" i="10"/>
  <c r="AI64" i="10"/>
  <c r="AH64" i="10" s="1"/>
  <c r="AI72" i="10"/>
  <c r="AH72" i="10" s="1"/>
  <c r="AF64" i="10"/>
  <c r="AF72" i="10"/>
  <c r="AG47" i="10"/>
  <c r="AG48" i="10"/>
  <c r="AG49" i="10"/>
  <c r="AG50" i="10"/>
  <c r="AG52" i="10"/>
  <c r="AF55" i="10"/>
  <c r="AG58" i="10"/>
  <c r="AG59" i="10"/>
  <c r="AG60" i="10"/>
  <c r="AG61" i="10"/>
  <c r="AG64" i="10"/>
  <c r="AG72" i="10"/>
  <c r="AE73" i="10"/>
  <c r="AC110" i="1"/>
  <c r="AH17" i="10" l="1"/>
  <c r="AG17" i="10"/>
  <c r="AC73" i="10"/>
  <c r="AF17" i="10"/>
  <c r="Z94" i="1"/>
  <c r="Z95" i="1" s="1"/>
  <c r="AD110" i="1"/>
  <c r="AB110" i="1"/>
  <c r="AA110" i="1"/>
  <c r="AD94" i="1"/>
  <c r="AD95" i="1" s="1"/>
  <c r="AC94" i="1"/>
  <c r="AC95" i="1" s="1"/>
  <c r="AB94" i="1"/>
  <c r="AB95" i="1" s="1"/>
  <c r="AA94" i="1"/>
  <c r="AA95" i="1" s="1"/>
  <c r="AE94" i="1"/>
  <c r="AE95" i="1" s="1"/>
  <c r="Z110" i="1"/>
  <c r="AI73" i="10" l="1"/>
  <c r="AE39" i="1"/>
  <c r="U110" i="1"/>
  <c r="U94" i="1"/>
  <c r="AE110" i="1"/>
  <c r="AJ69" i="9"/>
  <c r="AJ44" i="9"/>
  <c r="AJ71" i="9"/>
  <c r="AJ70" i="9"/>
  <c r="AJ68" i="9"/>
  <c r="AJ67" i="9"/>
  <c r="AJ66" i="9"/>
  <c r="AJ63" i="9"/>
  <c r="AJ62" i="9"/>
  <c r="AJ61" i="9"/>
  <c r="AJ60" i="9"/>
  <c r="AJ59" i="9"/>
  <c r="AJ58" i="9"/>
  <c r="AJ57" i="9"/>
  <c r="AJ56" i="9"/>
  <c r="AJ55" i="9"/>
  <c r="AJ52" i="9"/>
  <c r="AJ51" i="9"/>
  <c r="AJ50" i="9"/>
  <c r="AJ49" i="9"/>
  <c r="AJ48" i="9"/>
  <c r="AJ47" i="9"/>
  <c r="AJ46" i="9"/>
  <c r="AJ45" i="9"/>
  <c r="AJ43" i="9"/>
  <c r="AJ42" i="9"/>
  <c r="AJ41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19" i="9"/>
  <c r="AJ9" i="9"/>
  <c r="AJ10" i="9"/>
  <c r="AJ11" i="9"/>
  <c r="AJ12" i="9"/>
  <c r="AJ13" i="9"/>
  <c r="AJ15" i="9"/>
  <c r="AJ16" i="9"/>
  <c r="AI133" i="9"/>
  <c r="AG133" i="9" s="1"/>
  <c r="AE126" i="9"/>
  <c r="AD126" i="9"/>
  <c r="AD127" i="9" s="1"/>
  <c r="AC126" i="9"/>
  <c r="AB126" i="9"/>
  <c r="AA126" i="9"/>
  <c r="Z126" i="9"/>
  <c r="Y126" i="9"/>
  <c r="X126" i="9"/>
  <c r="W126" i="9"/>
  <c r="V126" i="9"/>
  <c r="U126" i="9"/>
  <c r="AE125" i="9"/>
  <c r="AD125" i="9"/>
  <c r="AC125" i="9"/>
  <c r="AI125" i="9" s="1"/>
  <c r="AB125" i="9"/>
  <c r="AA125" i="9"/>
  <c r="Z125" i="9"/>
  <c r="Y125" i="9"/>
  <c r="X125" i="9"/>
  <c r="W125" i="9"/>
  <c r="V125" i="9"/>
  <c r="U125" i="9"/>
  <c r="T125" i="9"/>
  <c r="T127" i="9" s="1"/>
  <c r="S125" i="9"/>
  <c r="R125" i="9"/>
  <c r="Q125" i="9"/>
  <c r="P125" i="9"/>
  <c r="O125" i="9"/>
  <c r="N125" i="9"/>
  <c r="M125" i="9"/>
  <c r="L125" i="9"/>
  <c r="L127" i="9" s="1"/>
  <c r="K125" i="9"/>
  <c r="J125" i="9"/>
  <c r="I125" i="9"/>
  <c r="H125" i="9"/>
  <c r="G125" i="9"/>
  <c r="F125" i="9"/>
  <c r="E125" i="9"/>
  <c r="D125" i="9"/>
  <c r="C125" i="9"/>
  <c r="B125" i="9"/>
  <c r="AE124" i="9"/>
  <c r="AD124" i="9"/>
  <c r="AC124" i="9"/>
  <c r="AI124" i="9" s="1"/>
  <c r="AB124" i="9"/>
  <c r="AA124" i="9"/>
  <c r="Z124" i="9"/>
  <c r="Z127" i="9" s="1"/>
  <c r="Y124" i="9"/>
  <c r="X124" i="9"/>
  <c r="W124" i="9"/>
  <c r="V124" i="9"/>
  <c r="U124" i="9"/>
  <c r="T124" i="9"/>
  <c r="S124" i="9"/>
  <c r="AE123" i="9"/>
  <c r="AD123" i="9"/>
  <c r="AC123" i="9"/>
  <c r="AB123" i="9"/>
  <c r="AA123" i="9"/>
  <c r="Z123" i="9"/>
  <c r="Y123" i="9"/>
  <c r="X123" i="9"/>
  <c r="X127" i="9" s="1"/>
  <c r="W123" i="9"/>
  <c r="V123" i="9"/>
  <c r="T123" i="9"/>
  <c r="R123" i="9"/>
  <c r="Q123" i="9"/>
  <c r="P123" i="9"/>
  <c r="P127" i="9" s="1"/>
  <c r="O123" i="9"/>
  <c r="N123" i="9"/>
  <c r="M123" i="9"/>
  <c r="L123" i="9"/>
  <c r="J123" i="9"/>
  <c r="I123" i="9"/>
  <c r="I127" i="9" s="1"/>
  <c r="H123" i="9"/>
  <c r="G123" i="9"/>
  <c r="F123" i="9"/>
  <c r="E123" i="9"/>
  <c r="D123" i="9"/>
  <c r="C123" i="9"/>
  <c r="B123" i="9"/>
  <c r="AE122" i="9"/>
  <c r="AD122" i="9"/>
  <c r="AC122" i="9"/>
  <c r="AI122" i="9" s="1"/>
  <c r="AF122" i="9" s="1"/>
  <c r="AB122" i="9"/>
  <c r="AA122" i="9"/>
  <c r="Z122" i="9"/>
  <c r="Y122" i="9"/>
  <c r="X122" i="9"/>
  <c r="W122" i="9"/>
  <c r="V122" i="9"/>
  <c r="T122" i="9"/>
  <c r="S122" i="9"/>
  <c r="Q122" i="9"/>
  <c r="P122" i="9"/>
  <c r="O122" i="9"/>
  <c r="N122" i="9"/>
  <c r="M122" i="9"/>
  <c r="L122" i="9"/>
  <c r="K122" i="9"/>
  <c r="J122" i="9"/>
  <c r="J127" i="9" s="1"/>
  <c r="I122" i="9"/>
  <c r="H122" i="9"/>
  <c r="G122" i="9"/>
  <c r="F122" i="9"/>
  <c r="E122" i="9"/>
  <c r="D122" i="9"/>
  <c r="C122" i="9"/>
  <c r="B122" i="9"/>
  <c r="B127" i="9" s="1"/>
  <c r="AE120" i="9"/>
  <c r="AD120" i="9"/>
  <c r="AC120" i="9"/>
  <c r="AI120" i="9" s="1"/>
  <c r="AB120" i="9"/>
  <c r="AA120" i="9"/>
  <c r="Z120" i="9"/>
  <c r="Y120" i="9"/>
  <c r="X120" i="9"/>
  <c r="W120" i="9"/>
  <c r="V120" i="9"/>
  <c r="U120" i="9"/>
  <c r="T120" i="9"/>
  <c r="S120" i="9"/>
  <c r="R120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E120" i="9"/>
  <c r="D120" i="9"/>
  <c r="C120" i="9"/>
  <c r="B120" i="9"/>
  <c r="AI119" i="9"/>
  <c r="AH119" i="9"/>
  <c r="AG119" i="9"/>
  <c r="AF119" i="9"/>
  <c r="AI118" i="9"/>
  <c r="AG118" i="9" s="1"/>
  <c r="AI117" i="9"/>
  <c r="AH117" i="9"/>
  <c r="AG117" i="9"/>
  <c r="AF117" i="9"/>
  <c r="AI116" i="9"/>
  <c r="AG116" i="9" s="1"/>
  <c r="AH116" i="9"/>
  <c r="AI115" i="9"/>
  <c r="AG115" i="9" s="1"/>
  <c r="AI114" i="9"/>
  <c r="AG114" i="9" s="1"/>
  <c r="AI113" i="9"/>
  <c r="AF113" i="9" s="1"/>
  <c r="AH113" i="9"/>
  <c r="AG113" i="9"/>
  <c r="AI112" i="9"/>
  <c r="AG112" i="9" s="1"/>
  <c r="AH112" i="9"/>
  <c r="AI110" i="9"/>
  <c r="AH110" i="9" s="1"/>
  <c r="AI108" i="9"/>
  <c r="AH108" i="9"/>
  <c r="AG108" i="9"/>
  <c r="AF108" i="9"/>
  <c r="AE106" i="9"/>
  <c r="AD106" i="9"/>
  <c r="AC106" i="9"/>
  <c r="AB106" i="9"/>
  <c r="AA106" i="9"/>
  <c r="Z106" i="9"/>
  <c r="Y106" i="9"/>
  <c r="X106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B106" i="9"/>
  <c r="AI105" i="9"/>
  <c r="AH105" i="9" s="1"/>
  <c r="AG105" i="9"/>
  <c r="AI104" i="9"/>
  <c r="AG104" i="9" s="1"/>
  <c r="AH104" i="9"/>
  <c r="AF104" i="9"/>
  <c r="AI103" i="9"/>
  <c r="AH103" i="9" s="1"/>
  <c r="AG103" i="9"/>
  <c r="AF103" i="9"/>
  <c r="AE101" i="9"/>
  <c r="AD101" i="9"/>
  <c r="AC101" i="9"/>
  <c r="AB101" i="9"/>
  <c r="AA101" i="9"/>
  <c r="Z101" i="9"/>
  <c r="Y101" i="9"/>
  <c r="X101" i="9"/>
  <c r="W101" i="9"/>
  <c r="V101" i="9"/>
  <c r="T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C101" i="9"/>
  <c r="B101" i="9"/>
  <c r="AI100" i="9"/>
  <c r="AH100" i="9"/>
  <c r="AG100" i="9"/>
  <c r="AF100" i="9"/>
  <c r="AI99" i="9"/>
  <c r="AG99" i="9" s="1"/>
  <c r="U99" i="9"/>
  <c r="U123" i="9" s="1"/>
  <c r="S99" i="9"/>
  <c r="S123" i="9" s="1"/>
  <c r="AI98" i="9"/>
  <c r="AH98" i="9"/>
  <c r="AG98" i="9"/>
  <c r="AF98" i="9"/>
  <c r="U98" i="9"/>
  <c r="U122" i="9" s="1"/>
  <c r="S98" i="9"/>
  <c r="R98" i="9"/>
  <c r="R122" i="9" s="1"/>
  <c r="R127" i="9" s="1"/>
  <c r="AI97" i="9"/>
  <c r="AH97" i="9" s="1"/>
  <c r="AF97" i="9"/>
  <c r="AI94" i="9"/>
  <c r="AH94" i="9" s="1"/>
  <c r="AI92" i="9"/>
  <c r="AH92" i="9"/>
  <c r="AG92" i="9"/>
  <c r="AF92" i="9"/>
  <c r="AE90" i="9"/>
  <c r="AD90" i="9"/>
  <c r="AC90" i="9"/>
  <c r="AI90" i="9" s="1"/>
  <c r="AG90" i="9" s="1"/>
  <c r="AB90" i="9"/>
  <c r="AA90" i="9"/>
  <c r="Z90" i="9"/>
  <c r="Y90" i="9"/>
  <c r="X90" i="9"/>
  <c r="W90" i="9"/>
  <c r="V90" i="9"/>
  <c r="U90" i="9"/>
  <c r="U95" i="9" s="1"/>
  <c r="T90" i="9"/>
  <c r="S90" i="9"/>
  <c r="R90" i="9"/>
  <c r="Q90" i="9"/>
  <c r="P90" i="9"/>
  <c r="O90" i="9"/>
  <c r="N90" i="9"/>
  <c r="M90" i="9"/>
  <c r="M95" i="9" s="1"/>
  <c r="L90" i="9"/>
  <c r="J90" i="9"/>
  <c r="I90" i="9"/>
  <c r="I95" i="9" s="1"/>
  <c r="H90" i="9"/>
  <c r="G90" i="9"/>
  <c r="F90" i="9"/>
  <c r="E90" i="9"/>
  <c r="E95" i="9" s="1"/>
  <c r="D90" i="9"/>
  <c r="C90" i="9"/>
  <c r="B90" i="9"/>
  <c r="AI89" i="9"/>
  <c r="AH89" i="9" s="1"/>
  <c r="K89" i="9"/>
  <c r="K90" i="9" s="1"/>
  <c r="AI88" i="9"/>
  <c r="AH88" i="9"/>
  <c r="AG88" i="9"/>
  <c r="AF88" i="9"/>
  <c r="AI86" i="9"/>
  <c r="AH86" i="9" s="1"/>
  <c r="AI84" i="9"/>
  <c r="AG84" i="9" s="1"/>
  <c r="AE84" i="9"/>
  <c r="AD84" i="9"/>
  <c r="AC84" i="9"/>
  <c r="AB84" i="9"/>
  <c r="AA84" i="9"/>
  <c r="AA95" i="9" s="1"/>
  <c r="Z84" i="9"/>
  <c r="Y84" i="9"/>
  <c r="X84" i="9"/>
  <c r="W84" i="9"/>
  <c r="V84" i="9"/>
  <c r="U84" i="9"/>
  <c r="T84" i="9"/>
  <c r="S84" i="9"/>
  <c r="S95" i="9" s="1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B84" i="9"/>
  <c r="AI83" i="9"/>
  <c r="AH83" i="9" s="1"/>
  <c r="AI82" i="9"/>
  <c r="AH82" i="9"/>
  <c r="AG82" i="9"/>
  <c r="AF82" i="9"/>
  <c r="AE72" i="9"/>
  <c r="AD72" i="9"/>
  <c r="AC72" i="9"/>
  <c r="AB72" i="9"/>
  <c r="AA72" i="9"/>
  <c r="Z72" i="9"/>
  <c r="Y72" i="9"/>
  <c r="X72" i="9"/>
  <c r="V72" i="9"/>
  <c r="T72" i="9"/>
  <c r="S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B72" i="9"/>
  <c r="AI71" i="9"/>
  <c r="AF71" i="9" s="1"/>
  <c r="AI70" i="9"/>
  <c r="AH70" i="9" s="1"/>
  <c r="AG70" i="9"/>
  <c r="AI69" i="9"/>
  <c r="AH69" i="9"/>
  <c r="AG69" i="9"/>
  <c r="AF69" i="9"/>
  <c r="W69" i="9"/>
  <c r="U69" i="9"/>
  <c r="R69" i="9"/>
  <c r="AI68" i="9"/>
  <c r="AH68" i="9"/>
  <c r="AG68" i="9"/>
  <c r="AF68" i="9"/>
  <c r="AI67" i="9"/>
  <c r="AG67" i="9" s="1"/>
  <c r="U67" i="9"/>
  <c r="S67" i="9"/>
  <c r="R67" i="9"/>
  <c r="AI66" i="9"/>
  <c r="AH66" i="9" s="1"/>
  <c r="W66" i="9"/>
  <c r="W72" i="9" s="1"/>
  <c r="U66" i="9"/>
  <c r="U72" i="9" s="1"/>
  <c r="R66" i="9"/>
  <c r="AE64" i="9"/>
  <c r="AD64" i="9"/>
  <c r="AC64" i="9"/>
  <c r="AI64" i="9" s="1"/>
  <c r="AF64" i="9" s="1"/>
  <c r="AB64" i="9"/>
  <c r="AA64" i="9"/>
  <c r="Z64" i="9"/>
  <c r="Y64" i="9"/>
  <c r="X64" i="9"/>
  <c r="V64" i="9"/>
  <c r="T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B64" i="9"/>
  <c r="AI63" i="9"/>
  <c r="AG63" i="9" s="1"/>
  <c r="AH63" i="9"/>
  <c r="U63" i="9"/>
  <c r="S63" i="9"/>
  <c r="R63" i="9"/>
  <c r="AI62" i="9"/>
  <c r="U62" i="9"/>
  <c r="S62" i="9"/>
  <c r="R62" i="9"/>
  <c r="AI61" i="9"/>
  <c r="AG61" i="9" s="1"/>
  <c r="AH61" i="9"/>
  <c r="AI60" i="9"/>
  <c r="AG60" i="9" s="1"/>
  <c r="W60" i="9"/>
  <c r="U60" i="9"/>
  <c r="S60" i="9"/>
  <c r="R60" i="9"/>
  <c r="AI59" i="9"/>
  <c r="AG59" i="9" s="1"/>
  <c r="W59" i="9"/>
  <c r="U59" i="9"/>
  <c r="S59" i="9"/>
  <c r="R59" i="9"/>
  <c r="AI58" i="9"/>
  <c r="AG58" i="9" s="1"/>
  <c r="AH58" i="9"/>
  <c r="W58" i="9"/>
  <c r="R58" i="9"/>
  <c r="R64" i="9" s="1"/>
  <c r="AI57" i="9"/>
  <c r="AG57" i="9" s="1"/>
  <c r="AH57" i="9"/>
  <c r="AI56" i="9"/>
  <c r="AH56" i="9"/>
  <c r="AG56" i="9"/>
  <c r="AF56" i="9"/>
  <c r="S56" i="9"/>
  <c r="AI55" i="9"/>
  <c r="AH55" i="9" s="1"/>
  <c r="W55" i="9"/>
  <c r="U55" i="9"/>
  <c r="S55" i="9"/>
  <c r="AE53" i="9"/>
  <c r="AD53" i="9"/>
  <c r="AC53" i="9"/>
  <c r="AB53" i="9"/>
  <c r="AA53" i="9"/>
  <c r="Z53" i="9"/>
  <c r="Y53" i="9"/>
  <c r="X53" i="9"/>
  <c r="V53" i="9"/>
  <c r="U53" i="9"/>
  <c r="T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I52" i="9"/>
  <c r="AG52" i="9" s="1"/>
  <c r="AI51" i="9"/>
  <c r="AH51" i="9"/>
  <c r="AG51" i="9"/>
  <c r="AF51" i="9"/>
  <c r="AI50" i="9"/>
  <c r="AG50" i="9" s="1"/>
  <c r="AI49" i="9"/>
  <c r="AG49" i="9" s="1"/>
  <c r="W49" i="9"/>
  <c r="U49" i="9"/>
  <c r="S49" i="9"/>
  <c r="R49" i="9"/>
  <c r="AI48" i="9"/>
  <c r="AG48" i="9" s="1"/>
  <c r="AI47" i="9"/>
  <c r="AG47" i="9" s="1"/>
  <c r="S47" i="9"/>
  <c r="R47" i="9"/>
  <c r="AI46" i="9"/>
  <c r="AH46" i="9"/>
  <c r="AG46" i="9"/>
  <c r="AF46" i="9"/>
  <c r="AI45" i="9"/>
  <c r="AH45" i="9" s="1"/>
  <c r="W45" i="9"/>
  <c r="U45" i="9"/>
  <c r="AI44" i="9"/>
  <c r="AF44" i="9"/>
  <c r="AI43" i="9"/>
  <c r="AH43" i="9" s="1"/>
  <c r="AG43" i="9"/>
  <c r="R43" i="9"/>
  <c r="AI42" i="9"/>
  <c r="AH42" i="9" s="1"/>
  <c r="AG42" i="9"/>
  <c r="AI41" i="9"/>
  <c r="AG41" i="9" s="1"/>
  <c r="AH41" i="9"/>
  <c r="AF41" i="9"/>
  <c r="S41" i="9"/>
  <c r="S53" i="9" s="1"/>
  <c r="R41" i="9"/>
  <c r="AE39" i="9"/>
  <c r="AD39" i="9"/>
  <c r="AC39" i="9"/>
  <c r="AB39" i="9"/>
  <c r="AA39" i="9"/>
  <c r="Z39" i="9"/>
  <c r="Y39" i="9"/>
  <c r="X39" i="9"/>
  <c r="V39" i="9"/>
  <c r="T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I38" i="9"/>
  <c r="AH38" i="9"/>
  <c r="AG38" i="9"/>
  <c r="AF38" i="9"/>
  <c r="AI37" i="9"/>
  <c r="AH37" i="9" s="1"/>
  <c r="AI36" i="9"/>
  <c r="AH36" i="9"/>
  <c r="AG36" i="9"/>
  <c r="AF36" i="9"/>
  <c r="W36" i="9"/>
  <c r="U36" i="9"/>
  <c r="S36" i="9"/>
  <c r="AI35" i="9"/>
  <c r="AH35" i="9"/>
  <c r="AG35" i="9"/>
  <c r="AF35" i="9"/>
  <c r="AI34" i="9"/>
  <c r="AH34" i="9" s="1"/>
  <c r="AF34" i="9"/>
  <c r="W34" i="9"/>
  <c r="U34" i="9"/>
  <c r="S34" i="9"/>
  <c r="AI33" i="9"/>
  <c r="W33" i="9"/>
  <c r="U33" i="9"/>
  <c r="S33" i="9"/>
  <c r="AI32" i="9"/>
  <c r="AG32" i="9" s="1"/>
  <c r="W32" i="9"/>
  <c r="S32" i="9"/>
  <c r="AI31" i="9"/>
  <c r="AH31" i="9"/>
  <c r="AG31" i="9"/>
  <c r="AF31" i="9"/>
  <c r="AI30" i="9"/>
  <c r="AH30" i="9" s="1"/>
  <c r="W30" i="9"/>
  <c r="U30" i="9"/>
  <c r="S30" i="9"/>
  <c r="R30" i="9"/>
  <c r="AI29" i="9"/>
  <c r="AH29" i="9"/>
  <c r="AG29" i="9"/>
  <c r="AF29" i="9"/>
  <c r="AI28" i="9"/>
  <c r="AH28" i="9" s="1"/>
  <c r="AI27" i="9"/>
  <c r="U27" i="9"/>
  <c r="S27" i="9"/>
  <c r="R27" i="9"/>
  <c r="AI26" i="9"/>
  <c r="AH26" i="9" s="1"/>
  <c r="W26" i="9"/>
  <c r="AI25" i="9"/>
  <c r="AG25" i="9"/>
  <c r="AF25" i="9"/>
  <c r="W25" i="9"/>
  <c r="U25" i="9"/>
  <c r="AH25" i="9" s="1"/>
  <c r="R25" i="9"/>
  <c r="R39" i="9" s="1"/>
  <c r="AI24" i="9"/>
  <c r="AH24" i="9" s="1"/>
  <c r="AI23" i="9"/>
  <c r="W23" i="9"/>
  <c r="U23" i="9"/>
  <c r="S23" i="9"/>
  <c r="AI22" i="9"/>
  <c r="AG22" i="9" s="1"/>
  <c r="AH22" i="9"/>
  <c r="U22" i="9"/>
  <c r="S22" i="9"/>
  <c r="AI21" i="9"/>
  <c r="AG21" i="9"/>
  <c r="AF21" i="9"/>
  <c r="W21" i="9"/>
  <c r="W39" i="9" s="1"/>
  <c r="U21" i="9"/>
  <c r="AH21" i="9" s="1"/>
  <c r="S21" i="9"/>
  <c r="AI20" i="9"/>
  <c r="AH20" i="9" s="1"/>
  <c r="S20" i="9"/>
  <c r="AI19" i="9"/>
  <c r="AH19" i="9" s="1"/>
  <c r="AF19" i="9"/>
  <c r="Y17" i="9"/>
  <c r="X17" i="9"/>
  <c r="AI16" i="9"/>
  <c r="AG16" i="9" s="1"/>
  <c r="AH16" i="9"/>
  <c r="S16" i="9"/>
  <c r="AI15" i="9"/>
  <c r="AH15" i="9" s="1"/>
  <c r="AE14" i="9"/>
  <c r="AE17" i="9" s="1"/>
  <c r="AD14" i="9"/>
  <c r="AD17" i="9" s="1"/>
  <c r="AC14" i="9"/>
  <c r="AC17" i="9" s="1"/>
  <c r="AB14" i="9"/>
  <c r="AB17" i="9" s="1"/>
  <c r="AA14" i="9"/>
  <c r="AA17" i="9" s="1"/>
  <c r="Z14" i="9"/>
  <c r="Z17" i="9" s="1"/>
  <c r="Y14" i="9"/>
  <c r="X14" i="9"/>
  <c r="W14" i="9"/>
  <c r="W17" i="9" s="1"/>
  <c r="V14" i="9"/>
  <c r="V17" i="9" s="1"/>
  <c r="T14" i="9"/>
  <c r="T17" i="9" s="1"/>
  <c r="S14" i="9"/>
  <c r="Q14" i="9"/>
  <c r="Q17" i="9" s="1"/>
  <c r="P14" i="9"/>
  <c r="P17" i="9" s="1"/>
  <c r="O14" i="9"/>
  <c r="O17" i="9" s="1"/>
  <c r="N14" i="9"/>
  <c r="N17" i="9" s="1"/>
  <c r="M14" i="9"/>
  <c r="M17" i="9" s="1"/>
  <c r="M73" i="9" s="1"/>
  <c r="L14" i="9"/>
  <c r="L17" i="9" s="1"/>
  <c r="K14" i="9"/>
  <c r="K17" i="9" s="1"/>
  <c r="J14" i="9"/>
  <c r="J17" i="9" s="1"/>
  <c r="I14" i="9"/>
  <c r="I17" i="9" s="1"/>
  <c r="H14" i="9"/>
  <c r="H17" i="9" s="1"/>
  <c r="G14" i="9"/>
  <c r="G17" i="9" s="1"/>
  <c r="F14" i="9"/>
  <c r="F17" i="9" s="1"/>
  <c r="F73" i="9" s="1"/>
  <c r="E14" i="9"/>
  <c r="E17" i="9" s="1"/>
  <c r="E73" i="9" s="1"/>
  <c r="D14" i="9"/>
  <c r="D17" i="9" s="1"/>
  <c r="C14" i="9"/>
  <c r="C17" i="9" s="1"/>
  <c r="B14" i="9"/>
  <c r="B17" i="9" s="1"/>
  <c r="AI13" i="9"/>
  <c r="AH13" i="9" s="1"/>
  <c r="AG13" i="9"/>
  <c r="R13" i="9"/>
  <c r="R14" i="9" s="1"/>
  <c r="R17" i="9" s="1"/>
  <c r="AI12" i="9"/>
  <c r="AF12" i="9" s="1"/>
  <c r="AI11" i="9"/>
  <c r="AH11" i="9" s="1"/>
  <c r="AG11" i="9"/>
  <c r="AI9" i="9"/>
  <c r="AH9" i="9" s="1"/>
  <c r="AG9" i="9"/>
  <c r="U9" i="9"/>
  <c r="U14" i="9" s="1"/>
  <c r="U17" i="9" s="1"/>
  <c r="AI8" i="9"/>
  <c r="AH8" i="9"/>
  <c r="AG8" i="9"/>
  <c r="AF8" i="9"/>
  <c r="AE120" i="1"/>
  <c r="AI108" i="1"/>
  <c r="AG108" i="1" s="1"/>
  <c r="AI92" i="1"/>
  <c r="AF92" i="1" s="1"/>
  <c r="AI68" i="1"/>
  <c r="AI29" i="1"/>
  <c r="AG29" i="1" s="1"/>
  <c r="AI30" i="1"/>
  <c r="AH30" i="1" s="1"/>
  <c r="AI82" i="1"/>
  <c r="AH82" i="1"/>
  <c r="AG82" i="1"/>
  <c r="AF82" i="1"/>
  <c r="V90" i="1"/>
  <c r="W90" i="1"/>
  <c r="X90" i="1"/>
  <c r="Y90" i="1"/>
  <c r="Z90" i="1"/>
  <c r="AA90" i="1"/>
  <c r="AB90" i="1"/>
  <c r="AC90" i="1"/>
  <c r="AD90" i="1"/>
  <c r="AE90" i="1"/>
  <c r="U90" i="1"/>
  <c r="AF38" i="1"/>
  <c r="AG38" i="1"/>
  <c r="AH38" i="1"/>
  <c r="AI38" i="1"/>
  <c r="B39" i="1"/>
  <c r="AF73" i="10" l="1"/>
  <c r="AH73" i="10"/>
  <c r="AG73" i="10"/>
  <c r="AH115" i="9"/>
  <c r="AH118" i="9"/>
  <c r="AG122" i="9"/>
  <c r="G127" i="9"/>
  <c r="O127" i="9"/>
  <c r="AB127" i="9"/>
  <c r="I73" i="9"/>
  <c r="Q73" i="9"/>
  <c r="Q129" i="9" s="1"/>
  <c r="D73" i="9"/>
  <c r="L73" i="9"/>
  <c r="C95" i="9"/>
  <c r="AH120" i="9"/>
  <c r="AH122" i="9"/>
  <c r="H127" i="9"/>
  <c r="Q127" i="9"/>
  <c r="U127" i="9"/>
  <c r="U129" i="9" s="1"/>
  <c r="AC127" i="9"/>
  <c r="AH27" i="9"/>
  <c r="V73" i="9"/>
  <c r="AD73" i="9"/>
  <c r="S39" i="9"/>
  <c r="AF28" i="9"/>
  <c r="AH33" i="9"/>
  <c r="S64" i="9"/>
  <c r="S73" i="9" s="1"/>
  <c r="D95" i="9"/>
  <c r="L95" i="9"/>
  <c r="T95" i="9"/>
  <c r="AB95" i="9"/>
  <c r="N95" i="9"/>
  <c r="V95" i="9"/>
  <c r="AD95" i="9"/>
  <c r="AF110" i="9"/>
  <c r="V127" i="9"/>
  <c r="AG92" i="1"/>
  <c r="AG12" i="9"/>
  <c r="AF20" i="9"/>
  <c r="AH23" i="9"/>
  <c r="AG28" i="9"/>
  <c r="AG37" i="9"/>
  <c r="AI39" i="9"/>
  <c r="AG39" i="9" s="1"/>
  <c r="W53" i="9"/>
  <c r="U64" i="9"/>
  <c r="AH64" i="9" s="1"/>
  <c r="AH60" i="9"/>
  <c r="AH62" i="9"/>
  <c r="AG64" i="9"/>
  <c r="X73" i="9"/>
  <c r="F95" i="9"/>
  <c r="O95" i="9"/>
  <c r="W95" i="9"/>
  <c r="AI106" i="9"/>
  <c r="AG110" i="9"/>
  <c r="W127" i="9"/>
  <c r="AE127" i="9"/>
  <c r="AH92" i="1"/>
  <c r="N73" i="9"/>
  <c r="AI14" i="9"/>
  <c r="AG14" i="9" s="1"/>
  <c r="AF24" i="9"/>
  <c r="R53" i="9"/>
  <c r="AF45" i="9"/>
  <c r="W64" i="9"/>
  <c r="AF57" i="9"/>
  <c r="AF67" i="9"/>
  <c r="AG71" i="9"/>
  <c r="G95" i="9"/>
  <c r="P95" i="9"/>
  <c r="X95" i="9"/>
  <c r="S101" i="9"/>
  <c r="AH99" i="9"/>
  <c r="U101" i="9"/>
  <c r="AI101" i="9"/>
  <c r="AH114" i="9"/>
  <c r="AI123" i="9"/>
  <c r="AH123" i="9" s="1"/>
  <c r="C127" i="9"/>
  <c r="AA127" i="9"/>
  <c r="AH133" i="9"/>
  <c r="AF9" i="9"/>
  <c r="AF15" i="9"/>
  <c r="AH32" i="9"/>
  <c r="AF43" i="9"/>
  <c r="AG45" i="9"/>
  <c r="AH47" i="9"/>
  <c r="AH49" i="9"/>
  <c r="AH52" i="9"/>
  <c r="AG55" i="9"/>
  <c r="Y73" i="9"/>
  <c r="R72" i="9"/>
  <c r="AH67" i="9"/>
  <c r="AH71" i="9"/>
  <c r="H73" i="9"/>
  <c r="P73" i="9"/>
  <c r="AH84" i="9"/>
  <c r="K95" i="9"/>
  <c r="H95" i="9"/>
  <c r="Q95" i="9"/>
  <c r="Y95" i="9"/>
  <c r="AF105" i="9"/>
  <c r="D127" i="9"/>
  <c r="AH59" i="9"/>
  <c r="AA73" i="9"/>
  <c r="R95" i="9"/>
  <c r="Z95" i="9"/>
  <c r="AG101" i="9"/>
  <c r="AF115" i="9"/>
  <c r="X129" i="9"/>
  <c r="E127" i="9"/>
  <c r="E129" i="9" s="1"/>
  <c r="M127" i="9"/>
  <c r="M129" i="9" s="1"/>
  <c r="AJ38" i="9"/>
  <c r="U39" i="9"/>
  <c r="S17" i="9"/>
  <c r="AH48" i="9"/>
  <c r="AH50" i="9"/>
  <c r="AI53" i="9"/>
  <c r="AH53" i="9" s="1"/>
  <c r="AF63" i="9"/>
  <c r="AF86" i="9"/>
  <c r="B95" i="9"/>
  <c r="J95" i="9"/>
  <c r="Y127" i="9"/>
  <c r="F127" i="9"/>
  <c r="N127" i="9"/>
  <c r="AF29" i="1"/>
  <c r="AH29" i="1"/>
  <c r="AH108" i="1"/>
  <c r="AF108" i="1"/>
  <c r="U73" i="9"/>
  <c r="AF53" i="9"/>
  <c r="B73" i="9"/>
  <c r="B129" i="9" s="1"/>
  <c r="J73" i="9"/>
  <c r="AB73" i="9"/>
  <c r="Y129" i="9"/>
  <c r="F129" i="9"/>
  <c r="N129" i="9"/>
  <c r="C73" i="9"/>
  <c r="C129" i="9" s="1"/>
  <c r="K73" i="9"/>
  <c r="T73" i="9"/>
  <c r="P129" i="9"/>
  <c r="AH125" i="9"/>
  <c r="W73" i="9"/>
  <c r="I129" i="9"/>
  <c r="AH124" i="9"/>
  <c r="V129" i="9"/>
  <c r="AD129" i="9"/>
  <c r="AH90" i="9"/>
  <c r="AG120" i="9"/>
  <c r="W129" i="9"/>
  <c r="AI17" i="9"/>
  <c r="AG17" i="9" s="1"/>
  <c r="AC73" i="9"/>
  <c r="AC129" i="9" s="1"/>
  <c r="G73" i="9"/>
  <c r="G129" i="9" s="1"/>
  <c r="O73" i="9"/>
  <c r="O129" i="9" s="1"/>
  <c r="AH101" i="9"/>
  <c r="AF101" i="9"/>
  <c r="J129" i="9"/>
  <c r="AF123" i="9"/>
  <c r="S127" i="9"/>
  <c r="AA129" i="9"/>
  <c r="AI127" i="9"/>
  <c r="AG127" i="9" s="1"/>
  <c r="R73" i="9"/>
  <c r="R129" i="9" s="1"/>
  <c r="Z73" i="9"/>
  <c r="Z129" i="9" s="1"/>
  <c r="AH106" i="9"/>
  <c r="D129" i="9"/>
  <c r="L129" i="9"/>
  <c r="T129" i="9"/>
  <c r="AF124" i="9"/>
  <c r="AG15" i="9"/>
  <c r="AG20" i="9"/>
  <c r="AG24" i="9"/>
  <c r="AF47" i="9"/>
  <c r="AF50" i="9"/>
  <c r="AF52" i="9"/>
  <c r="AF58" i="9"/>
  <c r="AF59" i="9"/>
  <c r="AF60" i="9"/>
  <c r="AE73" i="9"/>
  <c r="AG86" i="9"/>
  <c r="AF89" i="9"/>
  <c r="AC95" i="9"/>
  <c r="AG97" i="9"/>
  <c r="AF106" i="9"/>
  <c r="AG124" i="9"/>
  <c r="AF11" i="9"/>
  <c r="AF13" i="9"/>
  <c r="AF37" i="9"/>
  <c r="AF42" i="9"/>
  <c r="AF55" i="9"/>
  <c r="AF70" i="9"/>
  <c r="AF83" i="9"/>
  <c r="AF90" i="9"/>
  <c r="AF94" i="9"/>
  <c r="AG106" i="9"/>
  <c r="K123" i="9"/>
  <c r="K127" i="9" s="1"/>
  <c r="K129" i="9" s="1"/>
  <c r="AF125" i="9"/>
  <c r="AF27" i="9"/>
  <c r="AF30" i="9"/>
  <c r="AI72" i="9"/>
  <c r="AH72" i="9" s="1"/>
  <c r="AG83" i="9"/>
  <c r="AG94" i="9"/>
  <c r="AE95" i="9"/>
  <c r="AF120" i="9"/>
  <c r="AG125" i="9"/>
  <c r="AG19" i="9"/>
  <c r="AF23" i="9"/>
  <c r="AF26" i="9"/>
  <c r="AG27" i="9"/>
  <c r="AG30" i="9"/>
  <c r="AF33" i="9"/>
  <c r="AG34" i="9"/>
  <c r="AF62" i="9"/>
  <c r="AF66" i="9"/>
  <c r="AF84" i="9"/>
  <c r="AF16" i="9"/>
  <c r="AF22" i="9"/>
  <c r="AG23" i="9"/>
  <c r="AG26" i="9"/>
  <c r="AF32" i="9"/>
  <c r="AG33" i="9"/>
  <c r="AF48" i="9"/>
  <c r="AF49" i="9"/>
  <c r="AF61" i="9"/>
  <c r="AG62" i="9"/>
  <c r="AG66" i="9"/>
  <c r="AF99" i="9"/>
  <c r="AF112" i="9"/>
  <c r="AF114" i="9"/>
  <c r="AF116" i="9"/>
  <c r="AF118" i="9"/>
  <c r="AF133" i="9"/>
  <c r="AG30" i="1"/>
  <c r="AF30" i="1"/>
  <c r="U126" i="1"/>
  <c r="V126" i="1"/>
  <c r="W126" i="1"/>
  <c r="X126" i="1"/>
  <c r="Y126" i="1"/>
  <c r="Z126" i="1"/>
  <c r="AA126" i="1"/>
  <c r="AB126" i="1"/>
  <c r="AC126" i="1"/>
  <c r="AD126" i="1"/>
  <c r="AE126" i="1"/>
  <c r="AG123" i="9" l="1"/>
  <c r="AG53" i="9"/>
  <c r="AF14" i="9"/>
  <c r="AF72" i="9"/>
  <c r="H129" i="9"/>
  <c r="AF39" i="9"/>
  <c r="AI73" i="9"/>
  <c r="AG73" i="9" s="1"/>
  <c r="AH39" i="9"/>
  <c r="AH14" i="9"/>
  <c r="AI95" i="9"/>
  <c r="AG95" i="9" s="1"/>
  <c r="AH17" i="9"/>
  <c r="S129" i="9"/>
  <c r="AH127" i="9"/>
  <c r="AF17" i="9"/>
  <c r="AH73" i="9"/>
  <c r="AE129" i="9"/>
  <c r="AB129" i="9"/>
  <c r="AG72" i="9"/>
  <c r="AF127" i="9"/>
  <c r="AI133" i="1"/>
  <c r="AI119" i="1"/>
  <c r="AH119" i="1"/>
  <c r="AG119" i="1"/>
  <c r="AF119" i="1"/>
  <c r="AI118" i="1"/>
  <c r="AH118" i="1" s="1"/>
  <c r="AI117" i="1"/>
  <c r="AG117" i="1" s="1"/>
  <c r="AI116" i="1"/>
  <c r="AH116" i="1" s="1"/>
  <c r="AI115" i="1"/>
  <c r="AG115" i="1" s="1"/>
  <c r="AI114" i="1"/>
  <c r="AH114" i="1" s="1"/>
  <c r="AI113" i="1"/>
  <c r="AH113" i="1" s="1"/>
  <c r="AI112" i="1"/>
  <c r="AH112" i="1" s="1"/>
  <c r="AI110" i="1"/>
  <c r="AH110" i="1" s="1"/>
  <c r="AI105" i="1"/>
  <c r="AH105" i="1" s="1"/>
  <c r="AI104" i="1"/>
  <c r="AH104" i="1" s="1"/>
  <c r="AI103" i="1"/>
  <c r="AH103" i="1" s="1"/>
  <c r="AI100" i="1"/>
  <c r="AH100" i="1" s="1"/>
  <c r="AI99" i="1"/>
  <c r="AH99" i="1" s="1"/>
  <c r="AI98" i="1"/>
  <c r="AH98" i="1"/>
  <c r="AG98" i="1"/>
  <c r="AF98" i="1"/>
  <c r="AI97" i="1"/>
  <c r="AH97" i="1" s="1"/>
  <c r="AI94" i="1"/>
  <c r="AG94" i="1" s="1"/>
  <c r="AI86" i="1"/>
  <c r="AI89" i="1"/>
  <c r="AH89" i="1" s="1"/>
  <c r="AI88" i="1"/>
  <c r="AH88" i="1"/>
  <c r="AG88" i="1"/>
  <c r="AF88" i="1"/>
  <c r="AI83" i="1"/>
  <c r="AH83" i="1" s="1"/>
  <c r="AI71" i="1"/>
  <c r="AH71" i="1" s="1"/>
  <c r="AI70" i="1"/>
  <c r="AF70" i="1" s="1"/>
  <c r="AI69" i="1"/>
  <c r="AH69" i="1"/>
  <c r="AG69" i="1"/>
  <c r="AF69" i="1"/>
  <c r="AI67" i="1"/>
  <c r="AG67" i="1" s="1"/>
  <c r="AI66" i="1"/>
  <c r="AI63" i="1"/>
  <c r="AI62" i="1"/>
  <c r="AI61" i="1"/>
  <c r="AH61" i="1" s="1"/>
  <c r="AI60" i="1"/>
  <c r="AI59" i="1"/>
  <c r="AG59" i="1" s="1"/>
  <c r="AI58" i="1"/>
  <c r="AH58" i="1" s="1"/>
  <c r="AI57" i="1"/>
  <c r="AH57" i="1" s="1"/>
  <c r="AI56" i="1"/>
  <c r="AH56" i="1"/>
  <c r="AG56" i="1"/>
  <c r="AF56" i="1"/>
  <c r="AI55" i="1"/>
  <c r="AG55" i="1" s="1"/>
  <c r="AI52" i="1"/>
  <c r="AH52" i="1" s="1"/>
  <c r="AI51" i="1"/>
  <c r="AH51" i="1"/>
  <c r="AG51" i="1"/>
  <c r="AF51" i="1"/>
  <c r="AI50" i="1"/>
  <c r="AH50" i="1" s="1"/>
  <c r="AI49" i="1"/>
  <c r="AH49" i="1" s="1"/>
  <c r="AI48" i="1"/>
  <c r="AH48" i="1" s="1"/>
  <c r="AI47" i="1"/>
  <c r="AH47" i="1" s="1"/>
  <c r="AI46" i="1"/>
  <c r="AH46" i="1"/>
  <c r="AG46" i="1"/>
  <c r="AF46" i="1"/>
  <c r="AI45" i="1"/>
  <c r="AH45" i="1" s="1"/>
  <c r="AI44" i="1"/>
  <c r="AI43" i="1"/>
  <c r="AH43" i="1" s="1"/>
  <c r="AI42" i="1"/>
  <c r="AH42" i="1" s="1"/>
  <c r="AI41" i="1"/>
  <c r="AH41" i="1" s="1"/>
  <c r="AI37" i="1"/>
  <c r="AH37" i="1" s="1"/>
  <c r="AI36" i="1"/>
  <c r="AH36" i="1" s="1"/>
  <c r="AI35" i="1"/>
  <c r="AH35" i="1" s="1"/>
  <c r="AI34" i="1"/>
  <c r="AI33" i="1"/>
  <c r="AI32" i="1"/>
  <c r="AH32" i="1" s="1"/>
  <c r="AI31" i="1"/>
  <c r="AH31" i="1" s="1"/>
  <c r="AI28" i="1"/>
  <c r="AG28" i="1" s="1"/>
  <c r="AI27" i="1"/>
  <c r="AI26" i="1"/>
  <c r="AH26" i="1" s="1"/>
  <c r="AI25" i="1"/>
  <c r="AI24" i="1"/>
  <c r="AG24" i="1" s="1"/>
  <c r="AI23" i="1"/>
  <c r="AI22" i="1"/>
  <c r="AF22" i="1" s="1"/>
  <c r="AI21" i="1"/>
  <c r="AI20" i="1"/>
  <c r="AG20" i="1" s="1"/>
  <c r="AI19" i="1"/>
  <c r="AH19" i="1" s="1"/>
  <c r="AI16" i="1"/>
  <c r="AG16" i="1" s="1"/>
  <c r="AI15" i="1"/>
  <c r="AH15" i="1" s="1"/>
  <c r="AI13" i="1"/>
  <c r="AF13" i="1" s="1"/>
  <c r="AI12" i="1"/>
  <c r="AG12" i="1" s="1"/>
  <c r="AI11" i="1"/>
  <c r="AF11" i="1" s="1"/>
  <c r="AI9" i="1"/>
  <c r="AI8" i="1"/>
  <c r="AH8" i="1"/>
  <c r="AG8" i="1"/>
  <c r="AF8" i="1"/>
  <c r="AD125" i="1"/>
  <c r="AD124" i="1"/>
  <c r="AD123" i="1"/>
  <c r="AD122" i="1"/>
  <c r="AD120" i="1"/>
  <c r="AD106" i="1"/>
  <c r="AD101" i="1"/>
  <c r="AD84" i="1"/>
  <c r="AD72" i="1"/>
  <c r="AD64" i="1"/>
  <c r="AD53" i="1"/>
  <c r="AD39" i="1"/>
  <c r="AD14" i="1"/>
  <c r="AD17" i="1" s="1"/>
  <c r="AG86" i="1" l="1"/>
  <c r="AF86" i="1"/>
  <c r="AH133" i="1"/>
  <c r="AF133" i="1"/>
  <c r="AF73" i="9"/>
  <c r="AH95" i="9"/>
  <c r="AI129" i="9"/>
  <c r="AG129" i="9" s="1"/>
  <c r="AF95" i="9"/>
  <c r="AH117" i="1"/>
  <c r="AF117" i="1"/>
  <c r="AF112" i="1"/>
  <c r="AH86" i="1"/>
  <c r="AD127" i="1"/>
  <c r="AF57" i="1"/>
  <c r="AF26" i="1"/>
  <c r="AG104" i="1"/>
  <c r="AF104" i="1"/>
  <c r="AF100" i="1"/>
  <c r="AG100" i="1"/>
  <c r="AF99" i="1"/>
  <c r="AF97" i="1"/>
  <c r="AH94" i="1"/>
  <c r="AF94" i="1"/>
  <c r="AF114" i="1"/>
  <c r="AF116" i="1"/>
  <c r="AH115" i="1"/>
  <c r="AF115" i="1"/>
  <c r="AF113" i="1"/>
  <c r="AG113" i="1"/>
  <c r="AF118" i="1"/>
  <c r="AG118" i="1"/>
  <c r="AF15" i="1"/>
  <c r="AG15" i="1"/>
  <c r="AF52" i="1"/>
  <c r="AG52" i="1"/>
  <c r="AF50" i="1"/>
  <c r="AG50" i="1"/>
  <c r="AF49" i="1"/>
  <c r="AF48" i="1"/>
  <c r="AG48" i="1"/>
  <c r="AF47" i="1"/>
  <c r="AF45" i="1"/>
  <c r="AF44" i="1"/>
  <c r="AF42" i="1"/>
  <c r="AG42" i="1"/>
  <c r="AG22" i="1"/>
  <c r="AH22" i="1"/>
  <c r="AG36" i="1"/>
  <c r="AF36" i="1"/>
  <c r="AG34" i="1"/>
  <c r="AF34" i="1"/>
  <c r="AF32" i="1"/>
  <c r="AG32" i="1"/>
  <c r="AF28" i="1"/>
  <c r="AH28" i="1"/>
  <c r="AG26" i="1"/>
  <c r="AH16" i="1"/>
  <c r="AF16" i="1"/>
  <c r="AH13" i="1"/>
  <c r="AG13" i="1"/>
  <c r="AG70" i="1"/>
  <c r="AH70" i="1"/>
  <c r="AF71" i="1"/>
  <c r="AF66" i="1"/>
  <c r="AF67" i="1"/>
  <c r="AF43" i="1"/>
  <c r="AH24" i="1"/>
  <c r="AF24" i="1"/>
  <c r="AF63" i="1"/>
  <c r="AG63" i="1"/>
  <c r="AF61" i="1"/>
  <c r="AG61" i="1"/>
  <c r="AF59" i="1"/>
  <c r="AG57" i="1"/>
  <c r="AF55" i="1"/>
  <c r="AF41" i="1"/>
  <c r="AH20" i="1"/>
  <c r="AF20" i="1"/>
  <c r="AF12" i="1"/>
  <c r="AG11" i="1"/>
  <c r="AH11" i="1"/>
  <c r="AD73" i="1"/>
  <c r="AG133" i="1"/>
  <c r="AG112" i="1"/>
  <c r="AG114" i="1"/>
  <c r="AG116" i="1"/>
  <c r="AF103" i="1"/>
  <c r="AF105" i="1"/>
  <c r="AF110" i="1"/>
  <c r="AG103" i="1"/>
  <c r="AG105" i="1"/>
  <c r="AG110" i="1"/>
  <c r="AG97" i="1"/>
  <c r="AG99" i="1"/>
  <c r="AF89" i="1"/>
  <c r="AF83" i="1"/>
  <c r="AG83" i="1"/>
  <c r="AG66" i="1"/>
  <c r="AG71" i="1"/>
  <c r="AF58" i="1"/>
  <c r="AF60" i="1"/>
  <c r="AF62" i="1"/>
  <c r="AG58" i="1"/>
  <c r="AG60" i="1"/>
  <c r="AG62" i="1"/>
  <c r="AG41" i="1"/>
  <c r="AG43" i="1"/>
  <c r="AG45" i="1"/>
  <c r="AG47" i="1"/>
  <c r="AG49" i="1"/>
  <c r="AF19" i="1"/>
  <c r="AF21" i="1"/>
  <c r="AF23" i="1"/>
  <c r="AF25" i="1"/>
  <c r="AF27" i="1"/>
  <c r="AF31" i="1"/>
  <c r="AF33" i="1"/>
  <c r="AF35" i="1"/>
  <c r="AF37" i="1"/>
  <c r="AG19" i="1"/>
  <c r="AG21" i="1"/>
  <c r="AG23" i="1"/>
  <c r="AG25" i="1"/>
  <c r="AG27" i="1"/>
  <c r="AG31" i="1"/>
  <c r="AG33" i="1"/>
  <c r="AG35" i="1"/>
  <c r="AG37" i="1"/>
  <c r="AH129" i="9" l="1"/>
  <c r="AF129" i="9"/>
  <c r="AD129" i="1"/>
  <c r="T53" i="1"/>
  <c r="AC125" i="1" l="1"/>
  <c r="AC124" i="1"/>
  <c r="AC123" i="1"/>
  <c r="AC122" i="1"/>
  <c r="AC120" i="1"/>
  <c r="AC106" i="1"/>
  <c r="AC101" i="1"/>
  <c r="AC84" i="1"/>
  <c r="AC72" i="1"/>
  <c r="AC64" i="1"/>
  <c r="AC53" i="1"/>
  <c r="AC39" i="1"/>
  <c r="AC14" i="1"/>
  <c r="Y122" i="1"/>
  <c r="AE122" i="1"/>
  <c r="AE123" i="1"/>
  <c r="AE125" i="1"/>
  <c r="AE124" i="1"/>
  <c r="AC127" i="1" l="1"/>
  <c r="AE127" i="1"/>
  <c r="AC17" i="1"/>
  <c r="AC73" i="1" s="1"/>
  <c r="AI123" i="1"/>
  <c r="AI125" i="1"/>
  <c r="AH125" i="1" s="1"/>
  <c r="AI122" i="1"/>
  <c r="AH122" i="1" s="1"/>
  <c r="AI124" i="1"/>
  <c r="AH124" i="1" s="1"/>
  <c r="AB124" i="1"/>
  <c r="AA124" i="1"/>
  <c r="Z124" i="1"/>
  <c r="Y124" i="1"/>
  <c r="X124" i="1"/>
  <c r="W124" i="1"/>
  <c r="V124" i="1"/>
  <c r="U124" i="1"/>
  <c r="T124" i="1"/>
  <c r="S124" i="1"/>
  <c r="AB122" i="1"/>
  <c r="AA122" i="1"/>
  <c r="Z122" i="1"/>
  <c r="X122" i="1"/>
  <c r="W122" i="1"/>
  <c r="V122" i="1"/>
  <c r="T122" i="1"/>
  <c r="AB125" i="1"/>
  <c r="AB123" i="1"/>
  <c r="AB120" i="1"/>
  <c r="AB106" i="1"/>
  <c r="AB101" i="1"/>
  <c r="AB84" i="1"/>
  <c r="AB72" i="1"/>
  <c r="AB64" i="1"/>
  <c r="AB53" i="1"/>
  <c r="AB39" i="1"/>
  <c r="AB14" i="1"/>
  <c r="AB17" i="1" s="1"/>
  <c r="AF124" i="1" l="1"/>
  <c r="AG124" i="1"/>
  <c r="AG125" i="1"/>
  <c r="AB127" i="1"/>
  <c r="AF122" i="1"/>
  <c r="AG122" i="1"/>
  <c r="AF125" i="1"/>
  <c r="AF123" i="1"/>
  <c r="AC129" i="1"/>
  <c r="AB73" i="1"/>
  <c r="AB129" i="1" l="1"/>
  <c r="Y64" i="1"/>
  <c r="Y39" i="1"/>
  <c r="AE14" i="1"/>
  <c r="AA14" i="1"/>
  <c r="AA17" i="1" s="1"/>
  <c r="Z14" i="1"/>
  <c r="Z17" i="1" s="1"/>
  <c r="Y14" i="1"/>
  <c r="Y17" i="1" s="1"/>
  <c r="X14" i="1"/>
  <c r="X17" i="1" s="1"/>
  <c r="W14" i="1"/>
  <c r="W17" i="1" s="1"/>
  <c r="S14" i="1"/>
  <c r="T14" i="1"/>
  <c r="V14" i="1"/>
  <c r="AI14" i="1" l="1"/>
  <c r="AE17" i="1"/>
  <c r="AA125" i="1"/>
  <c r="AA123" i="1"/>
  <c r="AA120" i="1"/>
  <c r="AA106" i="1"/>
  <c r="AA101" i="1"/>
  <c r="AA84" i="1"/>
  <c r="AA72" i="1"/>
  <c r="AA64" i="1"/>
  <c r="AA53" i="1"/>
  <c r="AA39" i="1"/>
  <c r="AA127" i="1" l="1"/>
  <c r="AG14" i="1"/>
  <c r="AF14" i="1"/>
  <c r="AI17" i="1"/>
  <c r="AG17" i="1" s="1"/>
  <c r="AA73" i="1"/>
  <c r="AF17" i="1" l="1"/>
  <c r="AA12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B120" i="1"/>
  <c r="Z125" i="1"/>
  <c r="Z123" i="1"/>
  <c r="AG123" i="1" s="1"/>
  <c r="Z106" i="1"/>
  <c r="Z101" i="1"/>
  <c r="Z84" i="1"/>
  <c r="Z72" i="1"/>
  <c r="Z64" i="1"/>
  <c r="Z53" i="1"/>
  <c r="Z39" i="1"/>
  <c r="Z127" i="1" l="1"/>
  <c r="AI120" i="1"/>
  <c r="AH120" i="1" s="1"/>
  <c r="Z73" i="1"/>
  <c r="AE64" i="1"/>
  <c r="AE84" i="1"/>
  <c r="AE72" i="1"/>
  <c r="AE73" i="1" s="1"/>
  <c r="AE106" i="1"/>
  <c r="AE101" i="1"/>
  <c r="Q53" i="1"/>
  <c r="P53" i="1"/>
  <c r="V53" i="1"/>
  <c r="X53" i="1"/>
  <c r="AE53" i="1"/>
  <c r="Y53" i="1"/>
  <c r="AG120" i="1" l="1"/>
  <c r="AF120" i="1"/>
  <c r="AI84" i="1"/>
  <c r="AH84" i="1" s="1"/>
  <c r="AI90" i="1"/>
  <c r="AH90" i="1" s="1"/>
  <c r="AI101" i="1"/>
  <c r="AI106" i="1"/>
  <c r="AG106" i="1" s="1"/>
  <c r="AI127" i="1"/>
  <c r="AI72" i="1"/>
  <c r="AI64" i="1"/>
  <c r="AF64" i="1" s="1"/>
  <c r="AI53" i="1"/>
  <c r="AF53" i="1" s="1"/>
  <c r="AI39" i="1"/>
  <c r="AF39" i="1" s="1"/>
  <c r="Z129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T72" i="1"/>
  <c r="V72" i="1"/>
  <c r="X72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T64" i="1"/>
  <c r="V64" i="1"/>
  <c r="X64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T39" i="1"/>
  <c r="V39" i="1"/>
  <c r="X39" i="1"/>
  <c r="Y72" i="1"/>
  <c r="X123" i="1"/>
  <c r="W123" i="1"/>
  <c r="V123" i="1"/>
  <c r="T123" i="1"/>
  <c r="R123" i="1"/>
  <c r="Q123" i="1"/>
  <c r="P123" i="1"/>
  <c r="O123" i="1"/>
  <c r="N123" i="1"/>
  <c r="M123" i="1"/>
  <c r="L123" i="1"/>
  <c r="J123" i="1"/>
  <c r="I123" i="1"/>
  <c r="H123" i="1"/>
  <c r="G123" i="1"/>
  <c r="F123" i="1"/>
  <c r="E123" i="1"/>
  <c r="D123" i="1"/>
  <c r="C123" i="1"/>
  <c r="B123" i="1"/>
  <c r="Y123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B125" i="1"/>
  <c r="B122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B106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T101" i="1"/>
  <c r="V101" i="1"/>
  <c r="W101" i="1"/>
  <c r="X101" i="1"/>
  <c r="Y101" i="1"/>
  <c r="B101" i="1"/>
  <c r="C90" i="1"/>
  <c r="D90" i="1"/>
  <c r="E90" i="1"/>
  <c r="F90" i="1"/>
  <c r="G90" i="1"/>
  <c r="H90" i="1"/>
  <c r="I90" i="1"/>
  <c r="J90" i="1"/>
  <c r="L90" i="1"/>
  <c r="M90" i="1"/>
  <c r="N90" i="1"/>
  <c r="O90" i="1"/>
  <c r="P90" i="1"/>
  <c r="Q90" i="1"/>
  <c r="R90" i="1"/>
  <c r="S90" i="1"/>
  <c r="T90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U95" i="1" s="1"/>
  <c r="V84" i="1"/>
  <c r="W84" i="1"/>
  <c r="X84" i="1"/>
  <c r="Y84" i="1"/>
  <c r="B84" i="1"/>
  <c r="B90" i="1"/>
  <c r="C14" i="1"/>
  <c r="C17" i="1" s="1"/>
  <c r="D14" i="1"/>
  <c r="D17" i="1" s="1"/>
  <c r="E14" i="1"/>
  <c r="E17" i="1" s="1"/>
  <c r="F14" i="1"/>
  <c r="F17" i="1" s="1"/>
  <c r="G14" i="1"/>
  <c r="G17" i="1" s="1"/>
  <c r="H14" i="1"/>
  <c r="H17" i="1" s="1"/>
  <c r="I14" i="1"/>
  <c r="I17" i="1" s="1"/>
  <c r="J14" i="1"/>
  <c r="J17" i="1" s="1"/>
  <c r="K14" i="1"/>
  <c r="K17" i="1" s="1"/>
  <c r="L14" i="1"/>
  <c r="L17" i="1" s="1"/>
  <c r="M14" i="1"/>
  <c r="M17" i="1" s="1"/>
  <c r="N14" i="1"/>
  <c r="N17" i="1" s="1"/>
  <c r="O14" i="1"/>
  <c r="O17" i="1" s="1"/>
  <c r="P14" i="1"/>
  <c r="P17" i="1" s="1"/>
  <c r="Q14" i="1"/>
  <c r="Q17" i="1" s="1"/>
  <c r="T17" i="1"/>
  <c r="V17" i="1"/>
  <c r="B14" i="1"/>
  <c r="B17" i="1" s="1"/>
  <c r="R98" i="1"/>
  <c r="R101" i="1" s="1"/>
  <c r="S98" i="1"/>
  <c r="S122" i="1" s="1"/>
  <c r="U98" i="1"/>
  <c r="U122" i="1" s="1"/>
  <c r="B53" i="1"/>
  <c r="AF84" i="1" l="1"/>
  <c r="W127" i="1"/>
  <c r="Y127" i="1"/>
  <c r="X127" i="1"/>
  <c r="V127" i="1"/>
  <c r="AF106" i="1"/>
  <c r="AH106" i="1"/>
  <c r="AG84" i="1"/>
  <c r="AG72" i="1"/>
  <c r="AF72" i="1"/>
  <c r="AG64" i="1"/>
  <c r="AG53" i="1"/>
  <c r="AG39" i="1"/>
  <c r="AF90" i="1"/>
  <c r="AI95" i="1"/>
  <c r="AG90" i="1"/>
  <c r="AG101" i="1"/>
  <c r="AG127" i="1"/>
  <c r="AF101" i="1"/>
  <c r="AF127" i="1"/>
  <c r="I127" i="1"/>
  <c r="B95" i="1"/>
  <c r="C127" i="1"/>
  <c r="E127" i="1"/>
  <c r="T127" i="1"/>
  <c r="P127" i="1"/>
  <c r="O127" i="1"/>
  <c r="X95" i="1"/>
  <c r="T95" i="1"/>
  <c r="P95" i="1"/>
  <c r="L95" i="1"/>
  <c r="K73" i="1"/>
  <c r="G127" i="1"/>
  <c r="Q127" i="1"/>
  <c r="M127" i="1"/>
  <c r="G95" i="1"/>
  <c r="C95" i="1"/>
  <c r="H127" i="1"/>
  <c r="D127" i="1"/>
  <c r="L127" i="1"/>
  <c r="G73" i="1"/>
  <c r="C73" i="1"/>
  <c r="O73" i="1"/>
  <c r="Y95" i="1"/>
  <c r="Q95" i="1"/>
  <c r="M95" i="1"/>
  <c r="H95" i="1"/>
  <c r="D95" i="1"/>
  <c r="T73" i="1"/>
  <c r="P73" i="1"/>
  <c r="L73" i="1"/>
  <c r="H73" i="1"/>
  <c r="D73" i="1"/>
  <c r="W95" i="1"/>
  <c r="S95" i="1"/>
  <c r="O95" i="1"/>
  <c r="J95" i="1"/>
  <c r="F95" i="1"/>
  <c r="R122" i="1"/>
  <c r="R127" i="1" s="1"/>
  <c r="B127" i="1"/>
  <c r="F127" i="1"/>
  <c r="J127" i="1"/>
  <c r="N127" i="1"/>
  <c r="V73" i="1"/>
  <c r="N73" i="1"/>
  <c r="J73" i="1"/>
  <c r="F73" i="1"/>
  <c r="B73" i="1"/>
  <c r="V95" i="1"/>
  <c r="R95" i="1"/>
  <c r="N95" i="1"/>
  <c r="I95" i="1"/>
  <c r="E95" i="1"/>
  <c r="Q73" i="1"/>
  <c r="M73" i="1"/>
  <c r="I73" i="1"/>
  <c r="E73" i="1"/>
  <c r="AH95" i="1" l="1"/>
  <c r="AF95" i="1"/>
  <c r="AG95" i="1"/>
  <c r="AI73" i="1"/>
  <c r="B129" i="1"/>
  <c r="AE129" i="1"/>
  <c r="Y73" i="1"/>
  <c r="Q129" i="1"/>
  <c r="H129" i="1"/>
  <c r="X73" i="1"/>
  <c r="E129" i="1"/>
  <c r="I129" i="1"/>
  <c r="T129" i="1"/>
  <c r="C129" i="1"/>
  <c r="L129" i="1"/>
  <c r="O129" i="1"/>
  <c r="F129" i="1"/>
  <c r="P129" i="1"/>
  <c r="M129" i="1"/>
  <c r="G129" i="1"/>
  <c r="D129" i="1"/>
  <c r="V129" i="1"/>
  <c r="J129" i="1"/>
  <c r="N129" i="1"/>
  <c r="AH73" i="1" l="1"/>
  <c r="AF73" i="1"/>
  <c r="AI129" i="1"/>
  <c r="AG73" i="1"/>
  <c r="Y129" i="1"/>
  <c r="X129" i="1"/>
  <c r="W36" i="1"/>
  <c r="W34" i="1"/>
  <c r="W33" i="1"/>
  <c r="W32" i="1"/>
  <c r="W49" i="1"/>
  <c r="W30" i="1"/>
  <c r="W60" i="1"/>
  <c r="W69" i="1"/>
  <c r="W26" i="1"/>
  <c r="W59" i="1"/>
  <c r="W25" i="1"/>
  <c r="W23" i="1"/>
  <c r="W58" i="1"/>
  <c r="W45" i="1"/>
  <c r="W66" i="1"/>
  <c r="W21" i="1"/>
  <c r="W55" i="1"/>
  <c r="R43" i="1"/>
  <c r="U99" i="1"/>
  <c r="U22" i="1"/>
  <c r="U30" i="1"/>
  <c r="U25" i="1"/>
  <c r="AH25" i="1" s="1"/>
  <c r="U33" i="1"/>
  <c r="AH33" i="1" s="1"/>
  <c r="U27" i="1"/>
  <c r="AH27" i="1" s="1"/>
  <c r="U34" i="1"/>
  <c r="AH34" i="1" s="1"/>
  <c r="U45" i="1"/>
  <c r="U49" i="1"/>
  <c r="U23" i="1"/>
  <c r="AH23" i="1" s="1"/>
  <c r="U36" i="1"/>
  <c r="U69" i="1"/>
  <c r="U9" i="1"/>
  <c r="U66" i="1"/>
  <c r="AH66" i="1" s="1"/>
  <c r="U67" i="1"/>
  <c r="AH67" i="1" s="1"/>
  <c r="U60" i="1"/>
  <c r="AH60" i="1" s="1"/>
  <c r="U21" i="1"/>
  <c r="AH21" i="1" s="1"/>
  <c r="U63" i="1"/>
  <c r="AH63" i="1" s="1"/>
  <c r="U62" i="1"/>
  <c r="AH62" i="1" s="1"/>
  <c r="U59" i="1"/>
  <c r="AH59" i="1" s="1"/>
  <c r="U55" i="1"/>
  <c r="AH55" i="1" s="1"/>
  <c r="S99" i="1"/>
  <c r="S30" i="1"/>
  <c r="S22" i="1"/>
  <c r="S47" i="1"/>
  <c r="S33" i="1"/>
  <c r="S27" i="1"/>
  <c r="S16" i="1"/>
  <c r="S34" i="1"/>
  <c r="S49" i="1"/>
  <c r="S32" i="1"/>
  <c r="S23" i="1"/>
  <c r="S36" i="1"/>
  <c r="S20" i="1"/>
  <c r="S67" i="1"/>
  <c r="S60" i="1"/>
  <c r="S21" i="1"/>
  <c r="S63" i="1"/>
  <c r="S62" i="1"/>
  <c r="S56" i="1"/>
  <c r="S59" i="1"/>
  <c r="S55" i="1"/>
  <c r="S41" i="1"/>
  <c r="R13" i="1"/>
  <c r="R14" i="1" s="1"/>
  <c r="R17" i="1" s="1"/>
  <c r="R63" i="1"/>
  <c r="R62" i="1"/>
  <c r="R49" i="1"/>
  <c r="R30" i="1"/>
  <c r="R60" i="1"/>
  <c r="R69" i="1"/>
  <c r="R27" i="1"/>
  <c r="R47" i="1"/>
  <c r="R59" i="1"/>
  <c r="R25" i="1"/>
  <c r="R67" i="1"/>
  <c r="R58" i="1"/>
  <c r="R66" i="1"/>
  <c r="R41" i="1"/>
  <c r="K89" i="1"/>
  <c r="U14" i="1" l="1"/>
  <c r="AH14" i="1" s="1"/>
  <c r="AG129" i="1"/>
  <c r="AF129" i="1"/>
  <c r="W72" i="1"/>
  <c r="W53" i="1"/>
  <c r="R64" i="1"/>
  <c r="S17" i="1"/>
  <c r="S72" i="1"/>
  <c r="R39" i="1"/>
  <c r="R53" i="1"/>
  <c r="S123" i="1"/>
  <c r="U123" i="1"/>
  <c r="U53" i="1"/>
  <c r="AH53" i="1" s="1"/>
  <c r="S53" i="1"/>
  <c r="K90" i="1"/>
  <c r="K95" i="1" s="1"/>
  <c r="K123" i="1"/>
  <c r="K127" i="1" s="1"/>
  <c r="K129" i="1" s="1"/>
  <c r="S64" i="1"/>
  <c r="U72" i="1"/>
  <c r="AH72" i="1" s="1"/>
  <c r="W64" i="1"/>
  <c r="S39" i="1"/>
  <c r="R72" i="1"/>
  <c r="U64" i="1"/>
  <c r="AH64" i="1" s="1"/>
  <c r="U39" i="1"/>
  <c r="AH39" i="1" s="1"/>
  <c r="W39" i="1"/>
  <c r="S101" i="1"/>
  <c r="U101" i="1"/>
  <c r="AH101" i="1" s="1"/>
  <c r="AH123" i="1" l="1"/>
  <c r="U127" i="1"/>
  <c r="AH127" i="1" s="1"/>
  <c r="S127" i="1"/>
  <c r="R73" i="1"/>
  <c r="U17" i="1"/>
  <c r="AH17" i="1" s="1"/>
  <c r="S73" i="1"/>
  <c r="W73" i="1"/>
  <c r="S129" i="1" l="1"/>
  <c r="R129" i="1"/>
  <c r="U73" i="1"/>
  <c r="W129" i="1"/>
  <c r="U129" i="1" l="1"/>
  <c r="AH129" i="1" s="1"/>
</calcChain>
</file>

<file path=xl/sharedStrings.xml><?xml version="1.0" encoding="utf-8"?>
<sst xmlns="http://schemas.openxmlformats.org/spreadsheetml/2006/main" count="601" uniqueCount="183">
  <si>
    <t>Accounting</t>
  </si>
  <si>
    <t>Art</t>
  </si>
  <si>
    <t>Biology</t>
  </si>
  <si>
    <t>Business Administration</t>
  </si>
  <si>
    <t>Chemistry</t>
  </si>
  <si>
    <t>Computer Science</t>
  </si>
  <si>
    <t>Conflict Analysis/Dispute Resolution</t>
  </si>
  <si>
    <t>Economics</t>
  </si>
  <si>
    <t>Early Childhood Education</t>
  </si>
  <si>
    <t>Elementary Education</t>
  </si>
  <si>
    <t>English</t>
  </si>
  <si>
    <t>Exercise Science</t>
  </si>
  <si>
    <t>Finance</t>
  </si>
  <si>
    <t>French</t>
  </si>
  <si>
    <t>Geography</t>
  </si>
  <si>
    <t>History</t>
  </si>
  <si>
    <t>International Studies</t>
  </si>
  <si>
    <t>Management</t>
  </si>
  <si>
    <t>Marketing</t>
  </si>
  <si>
    <t>Mathematics</t>
  </si>
  <si>
    <t>Music</t>
  </si>
  <si>
    <t>Philosophy</t>
  </si>
  <si>
    <t>Physical Education</t>
  </si>
  <si>
    <t>Physics</t>
  </si>
  <si>
    <t>Political Science</t>
  </si>
  <si>
    <t>Psychology</t>
  </si>
  <si>
    <t>Respiratory Therapy</t>
  </si>
  <si>
    <t>Social Work</t>
  </si>
  <si>
    <t>Sociology</t>
  </si>
  <si>
    <t>Spanish</t>
  </si>
  <si>
    <t>Theatre</t>
  </si>
  <si>
    <t>Masters</t>
  </si>
  <si>
    <t>Education, Reading Specialist</t>
  </si>
  <si>
    <t>Art (B.F.A)</t>
  </si>
  <si>
    <t>95-96</t>
  </si>
  <si>
    <t>05-06</t>
  </si>
  <si>
    <t>01-02</t>
  </si>
  <si>
    <t>02-03</t>
  </si>
  <si>
    <t>03-04</t>
  </si>
  <si>
    <t>04-05</t>
  </si>
  <si>
    <t>96-97</t>
  </si>
  <si>
    <t>97-98</t>
  </si>
  <si>
    <t>98-99</t>
  </si>
  <si>
    <t>99-00</t>
  </si>
  <si>
    <t>00-01</t>
  </si>
  <si>
    <t>06-07</t>
  </si>
  <si>
    <t>07-08</t>
  </si>
  <si>
    <t>English for Speakers of Other Languages</t>
  </si>
  <si>
    <t>ESOL</t>
  </si>
  <si>
    <t>08-09</t>
  </si>
  <si>
    <t>Post-Baccalaureate Certificate</t>
  </si>
  <si>
    <t>Environmental Studies</t>
  </si>
  <si>
    <t>09-10</t>
  </si>
  <si>
    <t>Low Productivity Programs</t>
  </si>
  <si>
    <t>Earth Science</t>
  </si>
  <si>
    <t>10-11</t>
  </si>
  <si>
    <t>11-12</t>
  </si>
  <si>
    <t>Latitude, Longitude</t>
  </si>
  <si>
    <t>38.345157,-75.605421</t>
  </si>
  <si>
    <t>12-13</t>
  </si>
  <si>
    <t>13-14</t>
  </si>
  <si>
    <t>14-15</t>
  </si>
  <si>
    <t>15-16</t>
  </si>
  <si>
    <t>Information Systems</t>
  </si>
  <si>
    <t>16-17</t>
  </si>
  <si>
    <t>Medical Laboratory Science</t>
  </si>
  <si>
    <t>17-18</t>
  </si>
  <si>
    <t>School and Degree</t>
  </si>
  <si>
    <t>UNDERGRADUATE</t>
  </si>
  <si>
    <t>College of Health and Human Services</t>
  </si>
  <si>
    <t>School of Health Sciences</t>
  </si>
  <si>
    <t>Health Sciences Subtotal</t>
  </si>
  <si>
    <t>School of Nursing</t>
  </si>
  <si>
    <t>College of Health and Human Services Total</t>
  </si>
  <si>
    <t>Fulton School of Liberal Arts</t>
  </si>
  <si>
    <t>Fulton Subtotal</t>
  </si>
  <si>
    <t>Henson School of Science &amp; Technology</t>
  </si>
  <si>
    <t>Henson Subtotal</t>
  </si>
  <si>
    <t>Perdue School of Business</t>
  </si>
  <si>
    <t>Perdue Subtotal</t>
  </si>
  <si>
    <t>Seidel School of Education</t>
  </si>
  <si>
    <t>Seidel Subtotal</t>
  </si>
  <si>
    <t xml:space="preserve">  TOTAL Baccalaureate Degrees Awarded</t>
  </si>
  <si>
    <t>GRADUATE</t>
  </si>
  <si>
    <t>94-95</t>
  </si>
  <si>
    <t>School of Nursing Subtotal</t>
  </si>
  <si>
    <t>English M.A.</t>
  </si>
  <si>
    <t>History M.A.</t>
  </si>
  <si>
    <t>GIS Management M.S.</t>
  </si>
  <si>
    <t>Mathematics Education M.S.</t>
  </si>
  <si>
    <t>Perdue School of Business M.B.A.</t>
  </si>
  <si>
    <t>Education, M.A. in Teaching</t>
  </si>
  <si>
    <t>Post-Master's Certificates</t>
  </si>
  <si>
    <t>Doctoral</t>
  </si>
  <si>
    <t>Graduate Degrees Awarded by Type</t>
  </si>
  <si>
    <t xml:space="preserve">  TOTAL Graduate Level Degrees Awarded</t>
  </si>
  <si>
    <t>Salisbury University TOTAL Degrees Awarded</t>
  </si>
  <si>
    <t>1-year change</t>
  </si>
  <si>
    <t>5-year change</t>
  </si>
  <si>
    <t>10-year change</t>
  </si>
  <si>
    <t>18-19</t>
  </si>
  <si>
    <t>Educational Leadership Masters</t>
  </si>
  <si>
    <t>Educational Leadership P.M.C.</t>
  </si>
  <si>
    <t>Upper Division Certicates Awarded</t>
  </si>
  <si>
    <t>19-20</t>
  </si>
  <si>
    <t>20-21</t>
  </si>
  <si>
    <t>Communication</t>
  </si>
  <si>
    <t>Conflict Analysis &amp; Dispute Resolution M.A.</t>
  </si>
  <si>
    <t>21-22</t>
  </si>
  <si>
    <t>Higher Education P.B.C.</t>
  </si>
  <si>
    <t>Education, Cirriculum &amp; Instruction</t>
  </si>
  <si>
    <t>Literacy Educator P.M.C.</t>
  </si>
  <si>
    <t>&lt;5</t>
  </si>
  <si>
    <t>Discontinued</t>
  </si>
  <si>
    <t>Least Degrees Awarded (five degrees or less)</t>
  </si>
  <si>
    <t>&lt;15 last 3 years</t>
  </si>
  <si>
    <t>22-23</t>
  </si>
  <si>
    <t>N/A - new program</t>
  </si>
  <si>
    <t>New program &lt;5 years</t>
  </si>
  <si>
    <t>RANK</t>
  </si>
  <si>
    <t>Productivity</t>
  </si>
  <si>
    <t>23-24</t>
  </si>
  <si>
    <t>Table 3:             Degrees Awarded by College, School, and Program: AY 2013-14, AY 2018-19 to AY 2023-24</t>
  </si>
  <si>
    <t>Highlighted Programs:  Undergraduate Degrees Awarded 2023-24</t>
  </si>
  <si>
    <r>
      <t>Social Science</t>
    </r>
    <r>
      <rPr>
        <vertAlign val="superscript"/>
        <sz val="9"/>
        <color indexed="8"/>
        <rFont val="Arial"/>
        <family val="2"/>
      </rPr>
      <t>4</t>
    </r>
  </si>
  <si>
    <r>
      <t>Physical Science</t>
    </r>
    <r>
      <rPr>
        <vertAlign val="superscript"/>
        <sz val="9"/>
        <color indexed="8"/>
        <rFont val="Arial"/>
        <family val="2"/>
      </rPr>
      <t>4</t>
    </r>
  </si>
  <si>
    <t>Post-Doctoral Certificates</t>
  </si>
  <si>
    <t xml:space="preserve">Source: AY23-24 DIS file </t>
  </si>
  <si>
    <t>AY</t>
  </si>
  <si>
    <t>School and Degree Program</t>
  </si>
  <si>
    <t>Program Notes:</t>
  </si>
  <si>
    <r>
      <t>1</t>
    </r>
    <r>
      <rPr>
        <sz val="8"/>
        <color indexed="8"/>
        <rFont val="Arial"/>
        <family val="2"/>
      </rPr>
      <t>Percent change is not provided for programs with 20 students or less.</t>
    </r>
  </si>
  <si>
    <r>
      <t>2</t>
    </r>
    <r>
      <rPr>
        <sz val="8"/>
        <color indexed="8"/>
        <rFont val="Arial"/>
        <family val="2"/>
      </rPr>
      <t>Suspended program, but not discontinued.</t>
    </r>
  </si>
  <si>
    <r>
      <rPr>
        <sz val="11"/>
        <color rgb="FF000000"/>
        <rFont val="Arial"/>
        <family val="2"/>
      </rPr>
      <t>³</t>
    </r>
    <r>
      <rPr>
        <sz val="8"/>
        <color indexed="8"/>
        <rFont val="Arial"/>
        <family val="2"/>
      </rPr>
      <t>Program transitioned from Health Education to Community Health in 2014; then transititioned to Public Health in 2021</t>
    </r>
  </si>
  <si>
    <r>
      <rPr>
        <sz val="11"/>
        <color rgb="FF000000"/>
        <rFont val="Calibri"/>
        <family val="2"/>
      </rPr>
      <t>⁴</t>
    </r>
    <r>
      <rPr>
        <sz val="8"/>
        <color indexed="8"/>
        <rFont val="Arial"/>
        <family val="2"/>
      </rPr>
      <t>Program transitioned from Applied Health Physiology to Health and Human Performance in 2021</t>
    </r>
  </si>
  <si>
    <r>
      <t>1-year change</t>
    </r>
    <r>
      <rPr>
        <b/>
        <sz val="7.5"/>
        <color indexed="8"/>
        <rFont val="Calibri"/>
        <family val="2"/>
      </rPr>
      <t>¹</t>
    </r>
  </si>
  <si>
    <t>5-year change¹</t>
  </si>
  <si>
    <t>10-year change¹</t>
  </si>
  <si>
    <r>
      <t>*</t>
    </r>
    <r>
      <rPr>
        <sz val="8"/>
        <color indexed="8"/>
        <rFont val="Arial"/>
        <family val="2"/>
      </rPr>
      <t>Three-year average is not calculated for new programs.</t>
    </r>
  </si>
  <si>
    <t>Athletic Training²</t>
  </si>
  <si>
    <t>Public Health³</t>
  </si>
  <si>
    <r>
      <t>Health Science</t>
    </r>
    <r>
      <rPr>
        <sz val="6"/>
        <color rgb="FF000000"/>
        <rFont val="Arial"/>
        <family val="2"/>
      </rPr>
      <t xml:space="preserve"> (new in 2022)</t>
    </r>
  </si>
  <si>
    <t>School of Nursing - BSN</t>
  </si>
  <si>
    <t>School of Social Work - BASW</t>
  </si>
  <si>
    <t>Social Work MSW Traditional</t>
  </si>
  <si>
    <r>
      <t>Social Work MSW Online</t>
    </r>
    <r>
      <rPr>
        <sz val="6"/>
        <color rgb="FF000000"/>
        <rFont val="Arial"/>
        <family val="2"/>
      </rPr>
      <t xml:space="preserve"> (new in 2015)</t>
    </r>
  </si>
  <si>
    <t>Interdisciplinary Studies B.A.</t>
  </si>
  <si>
    <t>Interdisciplinary Studies B.S.</t>
  </si>
  <si>
    <r>
      <t xml:space="preserve">Data Science </t>
    </r>
    <r>
      <rPr>
        <sz val="6"/>
        <color rgb="FF000000"/>
        <rFont val="Arial"/>
        <family val="2"/>
      </rPr>
      <t>(new in 2020)</t>
    </r>
  </si>
  <si>
    <r>
      <t xml:space="preserve">Integrated Science </t>
    </r>
    <r>
      <rPr>
        <sz val="6"/>
        <color rgb="FF000000"/>
        <rFont val="Arial"/>
        <family val="2"/>
      </rPr>
      <t>(new in 2020)</t>
    </r>
  </si>
  <si>
    <r>
      <t xml:space="preserve">Urban Planning </t>
    </r>
    <r>
      <rPr>
        <sz val="6"/>
        <color rgb="FF000000"/>
        <rFont val="Arial"/>
        <family val="2"/>
      </rPr>
      <t>(new in 2017)</t>
    </r>
  </si>
  <si>
    <t>Environmental Health²</t>
  </si>
  <si>
    <r>
      <t xml:space="preserve">International Business </t>
    </r>
    <r>
      <rPr>
        <sz val="6"/>
        <color rgb="FF000000"/>
        <rFont val="Arial"/>
        <family val="2"/>
      </rPr>
      <t>(new in 2013)</t>
    </r>
  </si>
  <si>
    <r>
      <t xml:space="preserve">Business Economics </t>
    </r>
    <r>
      <rPr>
        <sz val="6"/>
        <color rgb="FF000000"/>
        <rFont val="Arial"/>
        <family val="2"/>
      </rPr>
      <t>(new in 2014)</t>
    </r>
  </si>
  <si>
    <r>
      <t>Outdoor Educational Leadership</t>
    </r>
    <r>
      <rPr>
        <sz val="8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(new in 2019)</t>
    </r>
  </si>
  <si>
    <t>Health Education²</t>
  </si>
  <si>
    <t xml:space="preserve">AY </t>
  </si>
  <si>
    <r>
      <t xml:space="preserve">Athletic Training MSAT² </t>
    </r>
    <r>
      <rPr>
        <sz val="6"/>
        <color rgb="FF000000"/>
        <rFont val="Arial"/>
        <family val="2"/>
      </rPr>
      <t>(new in 2016)</t>
    </r>
  </si>
  <si>
    <r>
      <t>Health and Human Performance MS</t>
    </r>
    <r>
      <rPr>
        <sz val="9"/>
        <color indexed="8"/>
        <rFont val="Calibri"/>
        <family val="2"/>
      </rPr>
      <t>⁴</t>
    </r>
  </si>
  <si>
    <t>Health Care Management PBC</t>
  </si>
  <si>
    <t>Family Nurse Practitioner CAS</t>
  </si>
  <si>
    <t>Nursing MSN</t>
  </si>
  <si>
    <r>
      <t xml:space="preserve">Doctor of Nursing Practice DNP </t>
    </r>
    <r>
      <rPr>
        <sz val="6"/>
        <color rgb="FF000000"/>
        <rFont val="Arial"/>
        <family val="2"/>
      </rPr>
      <t>(new 2012)</t>
    </r>
  </si>
  <si>
    <t>School of Social Work</t>
  </si>
  <si>
    <t>School of Social Work Subtotal</t>
  </si>
  <si>
    <t>English for Speakers of Other Languages PBC</t>
  </si>
  <si>
    <t>Applied Biology M.S.</t>
  </si>
  <si>
    <r>
      <t xml:space="preserve">Business Administration MBA Online </t>
    </r>
    <r>
      <rPr>
        <sz val="6"/>
        <color rgb="FF000000"/>
        <rFont val="Arial"/>
        <family val="2"/>
      </rPr>
      <t>(new in 2015)</t>
    </r>
  </si>
  <si>
    <t>Business Administration MBA Traditional</t>
  </si>
  <si>
    <r>
      <t xml:space="preserve">Doctor of Education in Literacy Studies Ed.D. </t>
    </r>
    <r>
      <rPr>
        <sz val="6"/>
        <rFont val="Arial"/>
        <family val="2"/>
      </rPr>
      <t>(new in 2014)</t>
    </r>
  </si>
  <si>
    <t>(1) New programs exempt for 5 years, (2) Must graduate 5 students in the most recent year or 15 students in the last 3 years.</t>
  </si>
  <si>
    <r>
      <t>*</t>
    </r>
    <r>
      <rPr>
        <sz val="8"/>
        <color indexed="8"/>
        <rFont val="Arial"/>
        <family val="2"/>
      </rPr>
      <t>Rules for Low Productivity:</t>
    </r>
  </si>
  <si>
    <t>Most Degrees Awarded (Top 5)</t>
  </si>
  <si>
    <r>
      <t>3 Year Average</t>
    </r>
    <r>
      <rPr>
        <b/>
        <vertAlign val="superscript"/>
        <sz val="8"/>
        <color indexed="8"/>
        <rFont val="Arial"/>
        <family val="2"/>
      </rPr>
      <t>2</t>
    </r>
  </si>
  <si>
    <r>
      <t xml:space="preserve">Elementary-Early Childhood Dual Certification </t>
    </r>
    <r>
      <rPr>
        <sz val="6"/>
        <color rgb="FF000000"/>
        <rFont val="Arial"/>
        <family val="2"/>
      </rPr>
      <t>(new in 2023)</t>
    </r>
  </si>
  <si>
    <r>
      <t xml:space="preserve">Fraud and Forensic Accounting </t>
    </r>
    <r>
      <rPr>
        <sz val="7"/>
        <color rgb="FF000000"/>
        <rFont val="Arial"/>
        <family val="2"/>
      </rPr>
      <t>(new in Fall 2017)</t>
    </r>
  </si>
  <si>
    <t xml:space="preserve">             Degrees Awarded by College, School, and Program: AY 2013-14, AY 2018-19 to AY 2023-24</t>
  </si>
  <si>
    <t>3 Year Average*</t>
  </si>
  <si>
    <t>Comminucation</t>
  </si>
  <si>
    <r>
      <t xml:space="preserve">Urban and Regional Planning </t>
    </r>
    <r>
      <rPr>
        <sz val="6"/>
        <color rgb="FF000000"/>
        <rFont val="Arial"/>
        <family val="2"/>
      </rPr>
      <t>(new in 2017)</t>
    </r>
  </si>
  <si>
    <t>Urban and Regional Planning</t>
  </si>
  <si>
    <r>
      <t xml:space="preserve">Business Administration </t>
    </r>
    <r>
      <rPr>
        <sz val="6"/>
        <color rgb="FF000000"/>
        <rFont val="Arial"/>
        <family val="2"/>
      </rPr>
      <t>(Discontinued in 2016)</t>
    </r>
  </si>
  <si>
    <r>
      <t>1-year change</t>
    </r>
    <r>
      <rPr>
        <b/>
        <sz val="8"/>
        <color indexed="8"/>
        <rFont val="Calibri"/>
        <family val="2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</si>
</sst>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0" x14ac:knownFonts="1">
    <font>
      <sz val="8"/>
      <name val="Arial"/>
    </font>
    <font>
      <b/>
      <sz val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b/>
      <sz val="10"/>
      <color indexed="8"/>
      <name val="Arial"/>
      <family val="2"/>
    </font>
    <font>
      <sz val="9"/>
      <color rgb="FFFF0000"/>
      <name val="Arial"/>
      <family val="2"/>
    </font>
    <font>
      <b/>
      <sz val="8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1"/>
      <color rgb="FF9C5700"/>
      <name val="Calibri"/>
      <family val="2"/>
      <scheme val="minor"/>
    </font>
    <font>
      <b/>
      <sz val="11"/>
      <name val="Arial"/>
      <family val="2"/>
    </font>
    <font>
      <b/>
      <sz val="7.5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vertAlign val="superscript"/>
      <sz val="9"/>
      <color indexed="8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8"/>
      <color indexed="8"/>
      <name val="Arial"/>
      <family val="2"/>
    </font>
    <font>
      <b/>
      <sz val="6"/>
      <color indexed="8"/>
      <name val="Arial"/>
      <family val="2"/>
    </font>
    <font>
      <vertAlign val="superscript"/>
      <sz val="6"/>
      <color indexed="8"/>
      <name val="Arial"/>
      <family val="2"/>
    </font>
    <font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9"/>
      <name val="Gadugi"/>
      <family val="2"/>
    </font>
    <font>
      <sz val="9"/>
      <color indexed="8"/>
      <name val="Calibri"/>
      <family val="2"/>
    </font>
    <font>
      <vertAlign val="superscript"/>
      <sz val="8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7.5"/>
      <color indexed="8"/>
      <name val="Calibri"/>
      <family val="2"/>
    </font>
    <font>
      <sz val="6"/>
      <color rgb="FF000000"/>
      <name val="Arial"/>
      <family val="2"/>
    </font>
    <font>
      <i/>
      <sz val="9"/>
      <color rgb="FFC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  <font>
      <b/>
      <sz val="7"/>
      <color indexed="8"/>
      <name val="Arial"/>
      <family val="2"/>
    </font>
    <font>
      <sz val="1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lightGray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8"/>
      </patternFill>
    </fill>
    <fill>
      <patternFill patternType="solid">
        <fgColor rgb="FFFFFF66"/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2" tint="-9.9978637043366805E-2"/>
        <bgColor indexed="22"/>
      </patternFill>
    </fill>
    <fill>
      <patternFill patternType="lightGray">
        <fgColor indexed="9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gray125">
        <fgColor auto="1"/>
        <bgColor theme="0"/>
      </patternFill>
    </fill>
    <fill>
      <patternFill patternType="solid">
        <fgColor theme="0"/>
        <bgColor auto="1"/>
      </patternFill>
    </fill>
    <fill>
      <patternFill patternType="gray125">
        <bgColor theme="0"/>
      </patternFill>
    </fill>
    <fill>
      <patternFill patternType="gray125">
        <fgColor indexed="8"/>
        <bgColor theme="0"/>
      </patternFill>
    </fill>
    <fill>
      <patternFill patternType="gray125">
        <fgColor indexed="8"/>
        <bgColor indexed="22"/>
      </patternFill>
    </fill>
    <fill>
      <patternFill patternType="gray125">
        <bgColor indexed="22"/>
      </patternFill>
    </fill>
    <fill>
      <patternFill patternType="gray125">
        <fgColor auto="1"/>
        <bgColor theme="0" tint="-4.9989318521683403E-2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hair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9" fontId="2" fillId="0" borderId="0" applyFont="0" applyFill="0" applyBorder="0" applyAlignment="0" applyProtection="0"/>
    <xf numFmtId="0" fontId="2" fillId="0" borderId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23" fillId="45" borderId="0" applyNumberFormat="0" applyBorder="0" applyAlignment="0" applyProtection="0"/>
  </cellStyleXfs>
  <cellXfs count="645"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 applyBorder="1"/>
    <xf numFmtId="41" fontId="3" fillId="12" borderId="11" xfId="0" applyNumberFormat="1" applyFont="1" applyFill="1" applyBorder="1" applyAlignment="1"/>
    <xf numFmtId="41" fontId="3" fillId="0" borderId="11" xfId="0" applyNumberFormat="1" applyFont="1" applyFill="1" applyBorder="1" applyAlignment="1"/>
    <xf numFmtId="49" fontId="4" fillId="12" borderId="23" xfId="0" quotePrefix="1" applyNumberFormat="1" applyFont="1" applyFill="1" applyBorder="1" applyAlignment="1">
      <alignment horizontal="center"/>
    </xf>
    <xf numFmtId="41" fontId="3" fillId="0" borderId="25" xfId="0" applyNumberFormat="1" applyFont="1" applyFill="1" applyBorder="1" applyAlignment="1"/>
    <xf numFmtId="41" fontId="3" fillId="12" borderId="25" xfId="0" applyNumberFormat="1" applyFont="1" applyFill="1" applyBorder="1" applyAlignment="1"/>
    <xf numFmtId="0" fontId="0" fillId="2" borderId="0" xfId="0" applyFill="1" applyAlignment="1"/>
    <xf numFmtId="0" fontId="2" fillId="20" borderId="33" xfId="0" applyFont="1" applyFill="1" applyBorder="1" applyAlignment="1"/>
    <xf numFmtId="0" fontId="2" fillId="21" borderId="33" xfId="0" applyFont="1" applyFill="1" applyBorder="1" applyAlignment="1"/>
    <xf numFmtId="0" fontId="9" fillId="20" borderId="33" xfId="0" applyFont="1" applyFill="1" applyBorder="1" applyAlignment="1"/>
    <xf numFmtId="0" fontId="9" fillId="21" borderId="33" xfId="0" applyFont="1" applyFill="1" applyBorder="1" applyAlignment="1"/>
    <xf numFmtId="0" fontId="9" fillId="19" borderId="33" xfId="0" applyFont="1" applyFill="1" applyBorder="1" applyAlignment="1"/>
    <xf numFmtId="0" fontId="10" fillId="19" borderId="34" xfId="0" applyFont="1" applyFill="1" applyBorder="1" applyAlignment="1"/>
    <xf numFmtId="0" fontId="10" fillId="2" borderId="0" xfId="0" applyFont="1" applyFill="1"/>
    <xf numFmtId="0" fontId="7" fillId="2" borderId="0" xfId="0" applyFont="1" applyFill="1"/>
    <xf numFmtId="41" fontId="3" fillId="24" borderId="33" xfId="0" applyNumberFormat="1" applyFont="1" applyFill="1" applyBorder="1" applyAlignment="1"/>
    <xf numFmtId="41" fontId="13" fillId="24" borderId="33" xfId="0" applyNumberFormat="1" applyFont="1" applyFill="1" applyBorder="1" applyAlignment="1"/>
    <xf numFmtId="41" fontId="4" fillId="24" borderId="33" xfId="0" applyNumberFormat="1" applyFont="1" applyFill="1" applyBorder="1" applyAlignment="1"/>
    <xf numFmtId="9" fontId="4" fillId="23" borderId="33" xfId="1" applyFont="1" applyFill="1" applyBorder="1" applyAlignment="1"/>
    <xf numFmtId="41" fontId="4" fillId="23" borderId="33" xfId="0" applyNumberFormat="1" applyFont="1" applyFill="1" applyBorder="1" applyAlignment="1"/>
    <xf numFmtId="9" fontId="10" fillId="23" borderId="34" xfId="1" applyFont="1" applyFill="1" applyBorder="1" applyAlignment="1"/>
    <xf numFmtId="41" fontId="4" fillId="24" borderId="0" xfId="0" applyNumberFormat="1" applyFont="1" applyFill="1" applyBorder="1" applyAlignment="1"/>
    <xf numFmtId="41" fontId="3" fillId="27" borderId="33" xfId="0" applyNumberFormat="1" applyFont="1" applyFill="1" applyBorder="1" applyAlignment="1"/>
    <xf numFmtId="41" fontId="13" fillId="27" borderId="33" xfId="0" applyNumberFormat="1" applyFont="1" applyFill="1" applyBorder="1" applyAlignment="1"/>
    <xf numFmtId="41" fontId="4" fillId="27" borderId="33" xfId="0" applyNumberFormat="1" applyFont="1" applyFill="1" applyBorder="1" applyAlignment="1"/>
    <xf numFmtId="9" fontId="4" fillId="26" borderId="33" xfId="1" applyFont="1" applyFill="1" applyBorder="1" applyAlignment="1"/>
    <xf numFmtId="164" fontId="4" fillId="26" borderId="33" xfId="1" applyNumberFormat="1" applyFont="1" applyFill="1" applyBorder="1" applyAlignment="1"/>
    <xf numFmtId="0" fontId="14" fillId="2" borderId="0" xfId="0" applyFont="1" applyFill="1"/>
    <xf numFmtId="41" fontId="4" fillId="33" borderId="20" xfId="0" applyNumberFormat="1" applyFont="1" applyFill="1" applyBorder="1" applyAlignment="1"/>
    <xf numFmtId="41" fontId="4" fillId="0" borderId="35" xfId="0" applyNumberFormat="1" applyFont="1" applyFill="1" applyBorder="1" applyAlignment="1"/>
    <xf numFmtId="41" fontId="7" fillId="0" borderId="35" xfId="0" applyNumberFormat="1" applyFont="1" applyFill="1" applyBorder="1" applyAlignment="1"/>
    <xf numFmtId="9" fontId="4" fillId="0" borderId="35" xfId="1" applyFont="1" applyFill="1" applyBorder="1" applyAlignment="1"/>
    <xf numFmtId="9" fontId="7" fillId="0" borderId="35" xfId="1" applyFont="1" applyFill="1" applyBorder="1" applyAlignment="1"/>
    <xf numFmtId="0" fontId="15" fillId="2" borderId="0" xfId="3" applyFont="1" applyFill="1" applyBorder="1" applyAlignment="1">
      <alignment horizontal="centerContinuous"/>
    </xf>
    <xf numFmtId="0" fontId="15" fillId="2" borderId="7" xfId="3" applyFont="1" applyFill="1" applyBorder="1" applyAlignment="1"/>
    <xf numFmtId="41" fontId="3" fillId="3" borderId="35" xfId="0" applyNumberFormat="1" applyFont="1" applyFill="1" applyBorder="1" applyAlignment="1"/>
    <xf numFmtId="41" fontId="13" fillId="3" borderId="35" xfId="0" applyNumberFormat="1" applyFont="1" applyFill="1" applyBorder="1" applyAlignment="1"/>
    <xf numFmtId="41" fontId="4" fillId="3" borderId="35" xfId="0" applyNumberFormat="1" applyFont="1" applyFill="1" applyBorder="1" applyAlignment="1"/>
    <xf numFmtId="9" fontId="4" fillId="2" borderId="35" xfId="1" applyFont="1" applyFill="1" applyBorder="1" applyAlignment="1"/>
    <xf numFmtId="9" fontId="4" fillId="3" borderId="37" xfId="1" applyFont="1" applyFill="1" applyBorder="1" applyAlignment="1"/>
    <xf numFmtId="41" fontId="3" fillId="35" borderId="27" xfId="0" applyNumberFormat="1" applyFont="1" applyFill="1" applyBorder="1" applyAlignment="1"/>
    <xf numFmtId="41" fontId="13" fillId="35" borderId="27" xfId="0" applyNumberFormat="1" applyFont="1" applyFill="1" applyBorder="1" applyAlignment="1"/>
    <xf numFmtId="41" fontId="3" fillId="18" borderId="27" xfId="0" applyNumberFormat="1" applyFont="1" applyFill="1" applyBorder="1" applyAlignment="1"/>
    <xf numFmtId="41" fontId="4" fillId="35" borderId="27" xfId="0" applyNumberFormat="1" applyFont="1" applyFill="1" applyBorder="1" applyAlignment="1"/>
    <xf numFmtId="9" fontId="4" fillId="16" borderId="27" xfId="1" applyFont="1" applyFill="1" applyBorder="1" applyAlignment="1"/>
    <xf numFmtId="164" fontId="4" fillId="16" borderId="27" xfId="1" applyNumberFormat="1" applyFont="1" applyFill="1" applyBorder="1" applyAlignment="1"/>
    <xf numFmtId="9" fontId="4" fillId="16" borderId="28" xfId="1" applyFont="1" applyFill="1" applyBorder="1" applyAlignment="1"/>
    <xf numFmtId="41" fontId="3" fillId="3" borderId="7" xfId="0" applyNumberFormat="1" applyFont="1" applyFill="1" applyBorder="1" applyAlignment="1"/>
    <xf numFmtId="41" fontId="13" fillId="3" borderId="7" xfId="0" applyNumberFormat="1" applyFont="1" applyFill="1" applyBorder="1" applyAlignment="1"/>
    <xf numFmtId="41" fontId="3" fillId="0" borderId="7" xfId="0" applyNumberFormat="1" applyFont="1" applyFill="1" applyBorder="1" applyAlignment="1"/>
    <xf numFmtId="41" fontId="4" fillId="3" borderId="7" xfId="0" applyNumberFormat="1" applyFont="1" applyFill="1" applyBorder="1" applyAlignment="1"/>
    <xf numFmtId="9" fontId="4" fillId="2" borderId="7" xfId="1" applyFont="1" applyFill="1" applyBorder="1" applyAlignment="1"/>
    <xf numFmtId="164" fontId="4" fillId="2" borderId="7" xfId="1" applyNumberFormat="1" applyFont="1" applyFill="1" applyBorder="1" applyAlignment="1"/>
    <xf numFmtId="9" fontId="4" fillId="2" borderId="9" xfId="1" applyFont="1" applyFill="1" applyBorder="1" applyAlignment="1"/>
    <xf numFmtId="0" fontId="14" fillId="2" borderId="0" xfId="0" applyFont="1" applyFill="1" applyBorder="1"/>
    <xf numFmtId="41" fontId="4" fillId="22" borderId="20" xfId="0" applyNumberFormat="1" applyFont="1" applyFill="1" applyBorder="1" applyAlignment="1"/>
    <xf numFmtId="0" fontId="4" fillId="3" borderId="23" xfId="0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16" fontId="4" fillId="0" borderId="23" xfId="0" quotePrefix="1" applyNumberFormat="1" applyFont="1" applyFill="1" applyBorder="1" applyAlignment="1">
      <alignment horizontal="center"/>
    </xf>
    <xf numFmtId="16" fontId="4" fillId="3" borderId="23" xfId="0" quotePrefix="1" applyNumberFormat="1" applyFont="1" applyFill="1" applyBorder="1" applyAlignment="1">
      <alignment horizontal="center"/>
    </xf>
    <xf numFmtId="49" fontId="4" fillId="0" borderId="23" xfId="0" quotePrefix="1" applyNumberFormat="1" applyFont="1" applyFill="1" applyBorder="1" applyAlignment="1">
      <alignment horizontal="center"/>
    </xf>
    <xf numFmtId="49" fontId="4" fillId="4" borderId="23" xfId="0" quotePrefix="1" applyNumberFormat="1" applyFont="1" applyFill="1" applyBorder="1" applyAlignment="1">
      <alignment horizontal="center"/>
    </xf>
    <xf numFmtId="41" fontId="4" fillId="37" borderId="11" xfId="0" applyNumberFormat="1" applyFont="1" applyFill="1" applyBorder="1" applyAlignment="1">
      <alignment horizontal="center"/>
    </xf>
    <xf numFmtId="0" fontId="2" fillId="20" borderId="7" xfId="0" applyFont="1" applyFill="1" applyBorder="1" applyAlignment="1"/>
    <xf numFmtId="0" fontId="2" fillId="21" borderId="7" xfId="0" applyFont="1" applyFill="1" applyBorder="1" applyAlignment="1"/>
    <xf numFmtId="0" fontId="9" fillId="20" borderId="7" xfId="0" applyFont="1" applyFill="1" applyBorder="1" applyAlignment="1"/>
    <xf numFmtId="0" fontId="9" fillId="21" borderId="7" xfId="0" applyFont="1" applyFill="1" applyBorder="1" applyAlignment="1"/>
    <xf numFmtId="0" fontId="9" fillId="19" borderId="7" xfId="0" applyFont="1" applyFill="1" applyBorder="1" applyAlignment="1"/>
    <xf numFmtId="164" fontId="9" fillId="19" borderId="7" xfId="1" applyNumberFormat="1" applyFont="1" applyFill="1" applyBorder="1" applyAlignment="1"/>
    <xf numFmtId="41" fontId="3" fillId="2" borderId="11" xfId="0" applyNumberFormat="1" applyFont="1" applyFill="1" applyBorder="1" applyAlignment="1"/>
    <xf numFmtId="41" fontId="3" fillId="13" borderId="11" xfId="0" applyNumberFormat="1" applyFont="1" applyFill="1" applyBorder="1" applyAlignment="1"/>
    <xf numFmtId="41" fontId="4" fillId="9" borderId="11" xfId="0" applyNumberFormat="1" applyFont="1" applyFill="1" applyBorder="1" applyAlignment="1"/>
    <xf numFmtId="164" fontId="4" fillId="7" borderId="11" xfId="0" applyNumberFormat="1" applyFont="1" applyFill="1" applyBorder="1" applyAlignment="1"/>
    <xf numFmtId="41" fontId="3" fillId="2" borderId="25" xfId="0" applyNumberFormat="1" applyFont="1" applyFill="1" applyBorder="1" applyAlignment="1"/>
    <xf numFmtId="41" fontId="3" fillId="13" borderId="25" xfId="0" applyNumberFormat="1" applyFont="1" applyFill="1" applyBorder="1" applyAlignment="1"/>
    <xf numFmtId="41" fontId="4" fillId="9" borderId="25" xfId="0" applyNumberFormat="1" applyFont="1" applyFill="1" applyBorder="1" applyAlignment="1"/>
    <xf numFmtId="164" fontId="4" fillId="7" borderId="25" xfId="0" applyNumberFormat="1" applyFont="1" applyFill="1" applyBorder="1" applyAlignment="1"/>
    <xf numFmtId="41" fontId="4" fillId="9" borderId="38" xfId="0" applyNumberFormat="1" applyFont="1" applyFill="1" applyBorder="1" applyAlignment="1"/>
    <xf numFmtId="41" fontId="4" fillId="9" borderId="23" xfId="0" applyNumberFormat="1" applyFont="1" applyFill="1" applyBorder="1" applyAlignment="1"/>
    <xf numFmtId="41" fontId="3" fillId="13" borderId="23" xfId="0" applyNumberFormat="1" applyFont="1" applyFill="1" applyBorder="1" applyAlignment="1"/>
    <xf numFmtId="41" fontId="4" fillId="9" borderId="1" xfId="0" applyNumberFormat="1" applyFont="1" applyFill="1" applyBorder="1" applyAlignment="1"/>
    <xf numFmtId="164" fontId="4" fillId="7" borderId="15" xfId="0" applyNumberFormat="1" applyFont="1" applyFill="1" applyBorder="1" applyAlignment="1"/>
    <xf numFmtId="41" fontId="4" fillId="3" borderId="5" xfId="0" applyNumberFormat="1" applyFont="1" applyFill="1" applyBorder="1" applyAlignment="1"/>
    <xf numFmtId="164" fontId="4" fillId="4" borderId="6" xfId="1" applyNumberFormat="1" applyFont="1" applyFill="1" applyBorder="1" applyAlignment="1"/>
    <xf numFmtId="41" fontId="3" fillId="13" borderId="24" xfId="0" applyNumberFormat="1" applyFont="1" applyFill="1" applyBorder="1" applyAlignment="1"/>
    <xf numFmtId="0" fontId="11" fillId="2" borderId="0" xfId="0" applyFont="1" applyFill="1" applyAlignment="1"/>
    <xf numFmtId="0" fontId="12" fillId="2" borderId="0" xfId="0" applyFont="1" applyFill="1" applyAlignment="1"/>
    <xf numFmtId="0" fontId="10" fillId="2" borderId="0" xfId="0" applyFont="1" applyFill="1" applyAlignment="1"/>
    <xf numFmtId="41" fontId="3" fillId="13" borderId="4" xfId="0" applyNumberFormat="1" applyFont="1" applyFill="1" applyBorder="1" applyAlignment="1"/>
    <xf numFmtId="41" fontId="3" fillId="0" borderId="4" xfId="0" applyNumberFormat="1" applyFont="1" applyFill="1" applyBorder="1" applyAlignment="1"/>
    <xf numFmtId="41" fontId="3" fillId="0" borderId="23" xfId="0" applyNumberFormat="1" applyFont="1" applyFill="1" applyBorder="1" applyAlignment="1"/>
    <xf numFmtId="0" fontId="14" fillId="2" borderId="0" xfId="0" applyFont="1" applyFill="1" applyAlignment="1"/>
    <xf numFmtId="41" fontId="4" fillId="10" borderId="1" xfId="0" applyNumberFormat="1" applyFont="1" applyFill="1" applyBorder="1" applyAlignment="1"/>
    <xf numFmtId="0" fontId="12" fillId="2" borderId="0" xfId="0" applyFont="1" applyFill="1" applyBorder="1" applyAlignment="1"/>
    <xf numFmtId="0" fontId="14" fillId="2" borderId="0" xfId="0" applyFont="1" applyFill="1" applyBorder="1" applyAlignment="1"/>
    <xf numFmtId="0" fontId="6" fillId="0" borderId="0" xfId="0" applyFont="1" applyFill="1" applyAlignment="1"/>
    <xf numFmtId="41" fontId="3" fillId="2" borderId="4" xfId="0" applyNumberFormat="1" applyFont="1" applyFill="1" applyBorder="1" applyAlignment="1"/>
    <xf numFmtId="41" fontId="4" fillId="9" borderId="4" xfId="0" applyNumberFormat="1" applyFont="1" applyFill="1" applyBorder="1" applyAlignment="1"/>
    <xf numFmtId="41" fontId="3" fillId="2" borderId="24" xfId="0" applyNumberFormat="1" applyFont="1" applyFill="1" applyBorder="1" applyAlignment="1"/>
    <xf numFmtId="41" fontId="3" fillId="0" borderId="24" xfId="0" applyNumberFormat="1" applyFont="1" applyFill="1" applyBorder="1" applyAlignment="1"/>
    <xf numFmtId="41" fontId="4" fillId="9" borderId="24" xfId="0" applyNumberFormat="1" applyFont="1" applyFill="1" applyBorder="1" applyAlignment="1"/>
    <xf numFmtId="9" fontId="4" fillId="22" borderId="20" xfId="1" applyFont="1" applyFill="1" applyBorder="1" applyAlignment="1"/>
    <xf numFmtId="9" fontId="4" fillId="21" borderId="20" xfId="1" applyFont="1" applyFill="1" applyBorder="1" applyAlignment="1"/>
    <xf numFmtId="9" fontId="7" fillId="19" borderId="20" xfId="1" applyFont="1" applyFill="1" applyBorder="1" applyAlignment="1"/>
    <xf numFmtId="41" fontId="4" fillId="23" borderId="35" xfId="0" applyNumberFormat="1" applyFont="1" applyFill="1" applyBorder="1" applyAlignment="1"/>
    <xf numFmtId="9" fontId="10" fillId="23" borderId="37" xfId="1" applyFont="1" applyFill="1" applyBorder="1" applyAlignment="1"/>
    <xf numFmtId="41" fontId="3" fillId="2" borderId="23" xfId="0" applyNumberFormat="1" applyFont="1" applyFill="1" applyBorder="1" applyAlignment="1"/>
    <xf numFmtId="41" fontId="4" fillId="24" borderId="40" xfId="0" applyNumberFormat="1" applyFont="1" applyFill="1" applyBorder="1" applyAlignment="1"/>
    <xf numFmtId="9" fontId="4" fillId="25" borderId="40" xfId="1" applyFont="1" applyFill="1" applyBorder="1" applyAlignment="1"/>
    <xf numFmtId="9" fontId="7" fillId="23" borderId="39" xfId="1" applyFont="1" applyFill="1" applyBorder="1" applyAlignment="1"/>
    <xf numFmtId="164" fontId="4" fillId="7" borderId="4" xfId="0" applyNumberFormat="1" applyFont="1" applyFill="1" applyBorder="1" applyAlignment="1"/>
    <xf numFmtId="165" fontId="4" fillId="32" borderId="20" xfId="2" applyNumberFormat="1" applyFont="1" applyFill="1" applyBorder="1" applyAlignment="1">
      <alignment horizontal="right"/>
    </xf>
    <xf numFmtId="9" fontId="4" fillId="33" borderId="20" xfId="1" applyFont="1" applyFill="1" applyBorder="1" applyAlignment="1"/>
    <xf numFmtId="9" fontId="7" fillId="34" borderId="20" xfId="1" applyFont="1" applyFill="1" applyBorder="1" applyAlignment="1"/>
    <xf numFmtId="41" fontId="4" fillId="36" borderId="38" xfId="0" applyNumberFormat="1" applyFont="1" applyFill="1" applyBorder="1" applyAlignment="1"/>
    <xf numFmtId="41" fontId="4" fillId="17" borderId="38" xfId="0" applyNumberFormat="1" applyFont="1" applyFill="1" applyBorder="1" applyAlignment="1"/>
    <xf numFmtId="41" fontId="4" fillId="36" borderId="23" xfId="0" applyNumberFormat="1" applyFont="1" applyFill="1" applyBorder="1" applyAlignment="1"/>
    <xf numFmtId="41" fontId="4" fillId="17" borderId="23" xfId="0" applyNumberFormat="1" applyFont="1" applyFill="1" applyBorder="1" applyAlignment="1"/>
    <xf numFmtId="41" fontId="3" fillId="3" borderId="11" xfId="0" applyNumberFormat="1" applyFont="1" applyFill="1" applyBorder="1" applyAlignment="1"/>
    <xf numFmtId="0" fontId="3" fillId="2" borderId="11" xfId="0" applyFont="1" applyFill="1" applyBorder="1" applyAlignment="1"/>
    <xf numFmtId="41" fontId="4" fillId="37" borderId="11" xfId="0" applyNumberFormat="1" applyFont="1" applyFill="1" applyBorder="1" applyAlignment="1"/>
    <xf numFmtId="41" fontId="4" fillId="38" borderId="11" xfId="0" applyNumberFormat="1" applyFont="1" applyFill="1" applyBorder="1" applyAlignment="1"/>
    <xf numFmtId="41" fontId="4" fillId="37" borderId="38" xfId="0" applyNumberFormat="1" applyFont="1" applyFill="1" applyBorder="1" applyAlignment="1"/>
    <xf numFmtId="41" fontId="4" fillId="18" borderId="20" xfId="0" applyNumberFormat="1" applyFont="1" applyFill="1" applyBorder="1" applyAlignment="1"/>
    <xf numFmtId="41" fontId="4" fillId="35" borderId="11" xfId="0" applyNumberFormat="1" applyFont="1" applyFill="1" applyBorder="1" applyAlignment="1"/>
    <xf numFmtId="41" fontId="3" fillId="24" borderId="0" xfId="0" applyNumberFormat="1" applyFont="1" applyFill="1" applyBorder="1" applyAlignment="1"/>
    <xf numFmtId="41" fontId="13" fillId="24" borderId="0" xfId="0" applyNumberFormat="1" applyFont="1" applyFill="1" applyBorder="1" applyAlignment="1"/>
    <xf numFmtId="9" fontId="4" fillId="23" borderId="0" xfId="1" applyFont="1" applyFill="1" applyBorder="1" applyAlignment="1"/>
    <xf numFmtId="41" fontId="3" fillId="3" borderId="4" xfId="0" applyNumberFormat="1" applyFont="1" applyFill="1" applyBorder="1" applyAlignment="1"/>
    <xf numFmtId="41" fontId="3" fillId="6" borderId="4" xfId="0" applyNumberFormat="1" applyFont="1" applyFill="1" applyBorder="1" applyAlignment="1"/>
    <xf numFmtId="41" fontId="3" fillId="11" borderId="4" xfId="0" applyNumberFormat="1" applyFont="1" applyFill="1" applyBorder="1" applyAlignment="1"/>
    <xf numFmtId="41" fontId="4" fillId="8" borderId="4" xfId="0" applyNumberFormat="1" applyFont="1" applyFill="1" applyBorder="1" applyAlignment="1"/>
    <xf numFmtId="41" fontId="3" fillId="3" borderId="11" xfId="0" applyNumberFormat="1" applyFont="1" applyFill="1" applyBorder="1" applyAlignment="1">
      <alignment horizontal="right"/>
    </xf>
    <xf numFmtId="41" fontId="4" fillId="4" borderId="11" xfId="0" applyNumberFormat="1" applyFont="1" applyFill="1" applyBorder="1" applyAlignment="1"/>
    <xf numFmtId="41" fontId="4" fillId="24" borderId="20" xfId="0" applyNumberFormat="1" applyFont="1" applyFill="1" applyBorder="1" applyAlignment="1"/>
    <xf numFmtId="41" fontId="3" fillId="31" borderId="35" xfId="0" applyNumberFormat="1" applyFont="1" applyFill="1" applyBorder="1" applyAlignment="1"/>
    <xf numFmtId="41" fontId="13" fillId="31" borderId="35" xfId="0" applyNumberFormat="1" applyFont="1" applyFill="1" applyBorder="1" applyAlignment="1"/>
    <xf numFmtId="41" fontId="3" fillId="32" borderId="35" xfId="0" applyNumberFormat="1" applyFont="1" applyFill="1" applyBorder="1" applyAlignment="1"/>
    <xf numFmtId="41" fontId="4" fillId="31" borderId="35" xfId="0" applyNumberFormat="1" applyFont="1" applyFill="1" applyBorder="1" applyAlignment="1"/>
    <xf numFmtId="9" fontId="4" fillId="30" borderId="35" xfId="1" applyFont="1" applyFill="1" applyBorder="1" applyAlignment="1"/>
    <xf numFmtId="41" fontId="4" fillId="11" borderId="4" xfId="0" applyNumberFormat="1" applyFont="1" applyFill="1" applyBorder="1" applyAlignment="1"/>
    <xf numFmtId="41" fontId="4" fillId="10" borderId="4" xfId="0" applyNumberFormat="1" applyFont="1" applyFill="1" applyBorder="1" applyAlignment="1"/>
    <xf numFmtId="0" fontId="13" fillId="2" borderId="33" xfId="0" applyFont="1" applyFill="1" applyBorder="1" applyAlignment="1"/>
    <xf numFmtId="0" fontId="7" fillId="0" borderId="33" xfId="0" applyFont="1" applyFill="1" applyBorder="1" applyAlignment="1"/>
    <xf numFmtId="0" fontId="7" fillId="2" borderId="33" xfId="0" applyFont="1" applyFill="1" applyBorder="1" applyAlignment="1"/>
    <xf numFmtId="164" fontId="7" fillId="2" borderId="33" xfId="1" applyNumberFormat="1" applyFont="1" applyFill="1" applyBorder="1" applyAlignment="1"/>
    <xf numFmtId="41" fontId="4" fillId="37" borderId="4" xfId="0" applyNumberFormat="1" applyFont="1" applyFill="1" applyBorder="1" applyAlignment="1">
      <alignment horizontal="right"/>
    </xf>
    <xf numFmtId="41" fontId="4" fillId="37" borderId="11" xfId="0" applyNumberFormat="1" applyFont="1" applyFill="1" applyBorder="1" applyAlignment="1">
      <alignment horizontal="right"/>
    </xf>
    <xf numFmtId="9" fontId="4" fillId="37" borderId="4" xfId="1" applyFont="1" applyFill="1" applyBorder="1" applyAlignment="1">
      <alignment horizontal="right"/>
    </xf>
    <xf numFmtId="9" fontId="4" fillId="37" borderId="11" xfId="1" applyFont="1" applyFill="1" applyBorder="1" applyAlignment="1">
      <alignment horizontal="right"/>
    </xf>
    <xf numFmtId="41" fontId="16" fillId="33" borderId="42" xfId="0" applyNumberFormat="1" applyFont="1" applyFill="1" applyBorder="1" applyAlignment="1"/>
    <xf numFmtId="0" fontId="17" fillId="2" borderId="0" xfId="0" applyFont="1" applyFill="1"/>
    <xf numFmtId="0" fontId="3" fillId="3" borderId="11" xfId="0" applyFont="1" applyFill="1" applyBorder="1" applyAlignment="1"/>
    <xf numFmtId="41" fontId="4" fillId="31" borderId="20" xfId="0" applyNumberFormat="1" applyFont="1" applyFill="1" applyBorder="1" applyAlignment="1"/>
    <xf numFmtId="41" fontId="4" fillId="14" borderId="4" xfId="0" applyNumberFormat="1" applyFont="1" applyFill="1" applyBorder="1" applyAlignment="1">
      <alignment horizontal="right"/>
    </xf>
    <xf numFmtId="41" fontId="4" fillId="14" borderId="11" xfId="0" applyNumberFormat="1" applyFont="1" applyFill="1" applyBorder="1" applyAlignment="1">
      <alignment horizontal="right"/>
    </xf>
    <xf numFmtId="41" fontId="4" fillId="14" borderId="20" xfId="0" applyNumberFormat="1" applyFont="1" applyFill="1" applyBorder="1" applyAlignment="1"/>
    <xf numFmtId="41" fontId="16" fillId="14" borderId="42" xfId="0" applyNumberFormat="1" applyFont="1" applyFill="1" applyBorder="1" applyAlignment="1"/>
    <xf numFmtId="165" fontId="3" fillId="2" borderId="0" xfId="2" applyNumberFormat="1" applyFont="1" applyFill="1" applyBorder="1" applyAlignment="1"/>
    <xf numFmtId="165" fontId="3" fillId="0" borderId="1" xfId="2" applyNumberFormat="1" applyFont="1" applyFill="1" applyBorder="1" applyAlignment="1"/>
    <xf numFmtId="165" fontId="3" fillId="13" borderId="1" xfId="2" applyNumberFormat="1" applyFont="1" applyFill="1" applyBorder="1" applyAlignment="1"/>
    <xf numFmtId="165" fontId="4" fillId="11" borderId="0" xfId="2" applyNumberFormat="1" applyFont="1" applyFill="1" applyBorder="1" applyAlignment="1"/>
    <xf numFmtId="165" fontId="3" fillId="11" borderId="1" xfId="2" applyNumberFormat="1" applyFont="1" applyFill="1" applyBorder="1" applyAlignment="1"/>
    <xf numFmtId="165" fontId="3" fillId="2" borderId="13" xfId="2" applyNumberFormat="1" applyFont="1" applyFill="1" applyBorder="1" applyAlignment="1"/>
    <xf numFmtId="165" fontId="3" fillId="2" borderId="45" xfId="2" applyNumberFormat="1" applyFont="1" applyFill="1" applyBorder="1" applyAlignment="1"/>
    <xf numFmtId="165" fontId="3" fillId="0" borderId="45" xfId="2" applyNumberFormat="1" applyFont="1" applyFill="1" applyBorder="1" applyAlignment="1"/>
    <xf numFmtId="165" fontId="3" fillId="13" borderId="45" xfId="2" applyNumberFormat="1" applyFont="1" applyFill="1" applyBorder="1" applyAlignment="1"/>
    <xf numFmtId="165" fontId="4" fillId="11" borderId="46" xfId="2" applyNumberFormat="1" applyFont="1" applyFill="1" applyBorder="1" applyAlignment="1"/>
    <xf numFmtId="165" fontId="3" fillId="11" borderId="46" xfId="2" applyNumberFormat="1" applyFont="1" applyFill="1" applyBorder="1" applyAlignment="1"/>
    <xf numFmtId="165" fontId="3" fillId="2" borderId="46" xfId="2" applyNumberFormat="1" applyFont="1" applyFill="1" applyBorder="1" applyAlignment="1"/>
    <xf numFmtId="165" fontId="3" fillId="0" borderId="46" xfId="2" applyNumberFormat="1" applyFont="1" applyFill="1" applyBorder="1" applyAlignment="1"/>
    <xf numFmtId="165" fontId="3" fillId="13" borderId="46" xfId="2" applyNumberFormat="1" applyFont="1" applyFill="1" applyBorder="1" applyAlignment="1"/>
    <xf numFmtId="165" fontId="3" fillId="2" borderId="47" xfId="2" applyNumberFormat="1" applyFont="1" applyFill="1" applyBorder="1" applyAlignment="1"/>
    <xf numFmtId="165" fontId="3" fillId="0" borderId="47" xfId="2" applyNumberFormat="1" applyFont="1" applyFill="1" applyBorder="1" applyAlignment="1"/>
    <xf numFmtId="165" fontId="3" fillId="13" borderId="47" xfId="2" applyNumberFormat="1" applyFont="1" applyFill="1" applyBorder="1" applyAlignment="1"/>
    <xf numFmtId="41" fontId="4" fillId="0" borderId="35" xfId="1" applyNumberFormat="1" applyFont="1" applyFill="1" applyBorder="1" applyAlignment="1"/>
    <xf numFmtId="41" fontId="4" fillId="37" borderId="5" xfId="0" applyNumberFormat="1" applyFont="1" applyFill="1" applyBorder="1" applyAlignment="1">
      <alignment horizontal="center"/>
    </xf>
    <xf numFmtId="41" fontId="4" fillId="18" borderId="17" xfId="0" applyNumberFormat="1" applyFont="1" applyFill="1" applyBorder="1" applyAlignment="1"/>
    <xf numFmtId="41" fontId="4" fillId="24" borderId="19" xfId="0" applyNumberFormat="1" applyFont="1" applyFill="1" applyBorder="1" applyAlignment="1"/>
    <xf numFmtId="165" fontId="4" fillId="32" borderId="17" xfId="2" applyNumberFormat="1" applyFont="1" applyFill="1" applyBorder="1" applyAlignment="1">
      <alignment horizontal="right"/>
    </xf>
    <xf numFmtId="41" fontId="4" fillId="33" borderId="17" xfId="0" applyNumberFormat="1" applyFont="1" applyFill="1" applyBorder="1" applyAlignment="1"/>
    <xf numFmtId="41" fontId="4" fillId="35" borderId="5" xfId="0" applyNumberFormat="1" applyFont="1" applyFill="1" applyBorder="1" applyAlignment="1"/>
    <xf numFmtId="41" fontId="4" fillId="22" borderId="17" xfId="0" applyNumberFormat="1" applyFont="1" applyFill="1" applyBorder="1" applyAlignment="1"/>
    <xf numFmtId="41" fontId="4" fillId="24" borderId="17" xfId="0" applyNumberFormat="1" applyFont="1" applyFill="1" applyBorder="1" applyAlignment="1"/>
    <xf numFmtId="41" fontId="3" fillId="11" borderId="3" xfId="0" applyNumberFormat="1" applyFont="1" applyFill="1" applyBorder="1" applyAlignment="1"/>
    <xf numFmtId="41" fontId="4" fillId="31" borderId="17" xfId="0" applyNumberFormat="1" applyFont="1" applyFill="1" applyBorder="1" applyAlignment="1"/>
    <xf numFmtId="41" fontId="4" fillId="37" borderId="3" xfId="0" applyNumberFormat="1" applyFont="1" applyFill="1" applyBorder="1" applyAlignment="1">
      <alignment horizontal="right"/>
    </xf>
    <xf numFmtId="41" fontId="4" fillId="37" borderId="5" xfId="0" applyNumberFormat="1" applyFont="1" applyFill="1" applyBorder="1" applyAlignment="1">
      <alignment horizontal="right"/>
    </xf>
    <xf numFmtId="41" fontId="16" fillId="33" borderId="44" xfId="0" applyNumberFormat="1" applyFont="1" applyFill="1" applyBorder="1" applyAlignment="1"/>
    <xf numFmtId="164" fontId="4" fillId="41" borderId="11" xfId="0" applyNumberFormat="1" applyFont="1" applyFill="1" applyBorder="1" applyAlignment="1"/>
    <xf numFmtId="164" fontId="7" fillId="12" borderId="11" xfId="1" applyNumberFormat="1" applyFont="1" applyFill="1" applyBorder="1" applyAlignment="1"/>
    <xf numFmtId="164" fontId="7" fillId="19" borderId="7" xfId="1" applyNumberFormat="1" applyFont="1" applyFill="1" applyBorder="1" applyAlignment="1"/>
    <xf numFmtId="165" fontId="4" fillId="18" borderId="20" xfId="2" applyNumberFormat="1" applyFont="1" applyFill="1" applyBorder="1" applyAlignment="1">
      <alignment horizontal="right"/>
    </xf>
    <xf numFmtId="164" fontId="4" fillId="41" borderId="25" xfId="0" applyNumberFormat="1" applyFont="1" applyFill="1" applyBorder="1" applyAlignment="1"/>
    <xf numFmtId="164" fontId="7" fillId="12" borderId="25" xfId="1" applyNumberFormat="1" applyFont="1" applyFill="1" applyBorder="1" applyAlignment="1"/>
    <xf numFmtId="9" fontId="10" fillId="23" borderId="33" xfId="1" applyFont="1" applyFill="1" applyBorder="1" applyAlignment="1"/>
    <xf numFmtId="9" fontId="4" fillId="24" borderId="40" xfId="1" applyFont="1" applyFill="1" applyBorder="1" applyAlignment="1"/>
    <xf numFmtId="165" fontId="7" fillId="23" borderId="20" xfId="2" applyNumberFormat="1" applyFont="1" applyFill="1" applyBorder="1" applyAlignment="1"/>
    <xf numFmtId="41" fontId="3" fillId="31" borderId="7" xfId="0" applyNumberFormat="1" applyFont="1" applyFill="1" applyBorder="1" applyAlignment="1"/>
    <xf numFmtId="41" fontId="13" fillId="31" borderId="7" xfId="0" applyNumberFormat="1" applyFont="1" applyFill="1" applyBorder="1" applyAlignment="1"/>
    <xf numFmtId="41" fontId="3" fillId="32" borderId="7" xfId="0" applyNumberFormat="1" applyFont="1" applyFill="1" applyBorder="1" applyAlignment="1"/>
    <xf numFmtId="41" fontId="4" fillId="31" borderId="7" xfId="0" applyNumberFormat="1" applyFont="1" applyFill="1" applyBorder="1" applyAlignment="1"/>
    <xf numFmtId="9" fontId="4" fillId="30" borderId="7" xfId="1" applyFont="1" applyFill="1" applyBorder="1" applyAlignment="1"/>
    <xf numFmtId="164" fontId="4" fillId="30" borderId="7" xfId="1" applyNumberFormat="1" applyFont="1" applyFill="1" applyBorder="1" applyAlignment="1"/>
    <xf numFmtId="41" fontId="4" fillId="28" borderId="20" xfId="0" applyNumberFormat="1" applyFont="1" applyFill="1" applyBorder="1" applyAlignment="1"/>
    <xf numFmtId="41" fontId="4" fillId="28" borderId="17" xfId="0" applyNumberFormat="1" applyFont="1" applyFill="1" applyBorder="1" applyAlignment="1"/>
    <xf numFmtId="9" fontId="4" fillId="28" borderId="20" xfId="1" applyFont="1" applyFill="1" applyBorder="1" applyAlignment="1"/>
    <xf numFmtId="9" fontId="4" fillId="29" borderId="20" xfId="1" applyFont="1" applyFill="1" applyBorder="1" applyAlignment="1"/>
    <xf numFmtId="9" fontId="7" fillId="26" borderId="20" xfId="1" applyFont="1" applyFill="1" applyBorder="1" applyAlignment="1"/>
    <xf numFmtId="165" fontId="7" fillId="26" borderId="20" xfId="2" applyNumberFormat="1" applyFont="1" applyFill="1" applyBorder="1" applyAlignment="1"/>
    <xf numFmtId="9" fontId="4" fillId="32" borderId="20" xfId="1" applyFont="1" applyFill="1" applyBorder="1" applyAlignment="1">
      <alignment horizontal="right"/>
    </xf>
    <xf numFmtId="165" fontId="7" fillId="34" borderId="20" xfId="2" applyNumberFormat="1" applyFont="1" applyFill="1" applyBorder="1" applyAlignment="1"/>
    <xf numFmtId="164" fontId="7" fillId="19" borderId="9" xfId="1" applyNumberFormat="1" applyFont="1" applyFill="1" applyBorder="1" applyAlignment="1"/>
    <xf numFmtId="164" fontId="4" fillId="26" borderId="34" xfId="1" applyNumberFormat="1" applyFont="1" applyFill="1" applyBorder="1" applyAlignment="1"/>
    <xf numFmtId="164" fontId="4" fillId="30" borderId="9" xfId="1" applyNumberFormat="1" applyFont="1" applyFill="1" applyBorder="1" applyAlignment="1"/>
    <xf numFmtId="9" fontId="16" fillId="33" borderId="20" xfId="1" applyFont="1" applyFill="1" applyBorder="1" applyAlignment="1"/>
    <xf numFmtId="9" fontId="16" fillId="33" borderId="42" xfId="1" applyFont="1" applyFill="1" applyBorder="1" applyAlignment="1"/>
    <xf numFmtId="9" fontId="4" fillId="31" borderId="20" xfId="1" applyFont="1" applyFill="1" applyBorder="1" applyAlignment="1"/>
    <xf numFmtId="9" fontId="4" fillId="33" borderId="16" xfId="1" applyFont="1" applyFill="1" applyBorder="1" applyAlignment="1"/>
    <xf numFmtId="9" fontId="4" fillId="33" borderId="17" xfId="1" applyFont="1" applyFill="1" applyBorder="1" applyAlignment="1"/>
    <xf numFmtId="9" fontId="4" fillId="41" borderId="24" xfId="1" applyFont="1" applyFill="1" applyBorder="1" applyAlignment="1"/>
    <xf numFmtId="9" fontId="4" fillId="41" borderId="11" xfId="1" applyFont="1" applyFill="1" applyBorder="1" applyAlignment="1"/>
    <xf numFmtId="9" fontId="4" fillId="7" borderId="24" xfId="0" applyNumberFormat="1" applyFont="1" applyFill="1" applyBorder="1" applyAlignment="1"/>
    <xf numFmtId="9" fontId="4" fillId="41" borderId="24" xfId="0" applyNumberFormat="1" applyFont="1" applyFill="1" applyBorder="1" applyAlignment="1"/>
    <xf numFmtId="9" fontId="7" fillId="12" borderId="24" xfId="1" applyNumberFormat="1" applyFont="1" applyFill="1" applyBorder="1" applyAlignment="1"/>
    <xf numFmtId="9" fontId="4" fillId="7" borderId="11" xfId="0" applyNumberFormat="1" applyFont="1" applyFill="1" applyBorder="1" applyAlignment="1"/>
    <xf numFmtId="9" fontId="4" fillId="41" borderId="11" xfId="0" applyNumberFormat="1" applyFont="1" applyFill="1" applyBorder="1" applyAlignment="1"/>
    <xf numFmtId="9" fontId="7" fillId="12" borderId="11" xfId="1" applyNumberFormat="1" applyFont="1" applyFill="1" applyBorder="1" applyAlignment="1"/>
    <xf numFmtId="9" fontId="4" fillId="7" borderId="25" xfId="0" applyNumberFormat="1" applyFont="1" applyFill="1" applyBorder="1" applyAlignment="1"/>
    <xf numFmtId="9" fontId="4" fillId="41" borderId="25" xfId="0" applyNumberFormat="1" applyFont="1" applyFill="1" applyBorder="1" applyAlignment="1"/>
    <xf numFmtId="9" fontId="7" fillId="12" borderId="25" xfId="1" applyNumberFormat="1" applyFont="1" applyFill="1" applyBorder="1" applyAlignment="1"/>
    <xf numFmtId="164" fontId="4" fillId="41" borderId="4" xfId="0" applyNumberFormat="1" applyFont="1" applyFill="1" applyBorder="1" applyAlignment="1"/>
    <xf numFmtId="164" fontId="7" fillId="12" borderId="4" xfId="1" applyNumberFormat="1" applyFont="1" applyFill="1" applyBorder="1" applyAlignment="1"/>
    <xf numFmtId="9" fontId="9" fillId="19" borderId="33" xfId="0" applyNumberFormat="1" applyFont="1" applyFill="1" applyBorder="1" applyAlignment="1"/>
    <xf numFmtId="9" fontId="9" fillId="19" borderId="33" xfId="1" applyNumberFormat="1" applyFont="1" applyFill="1" applyBorder="1" applyAlignment="1"/>
    <xf numFmtId="9" fontId="4" fillId="35" borderId="11" xfId="1" applyFont="1" applyFill="1" applyBorder="1" applyAlignment="1"/>
    <xf numFmtId="9" fontId="4" fillId="40" borderId="11" xfId="0" applyNumberFormat="1" applyFont="1" applyFill="1" applyBorder="1" applyAlignment="1"/>
    <xf numFmtId="9" fontId="7" fillId="37" borderId="11" xfId="1" applyNumberFormat="1" applyFont="1" applyFill="1" applyBorder="1" applyAlignment="1"/>
    <xf numFmtId="9" fontId="4" fillId="40" borderId="38" xfId="0" applyNumberFormat="1" applyFont="1" applyFill="1" applyBorder="1" applyAlignment="1"/>
    <xf numFmtId="9" fontId="7" fillId="37" borderId="38" xfId="1" applyNumberFormat="1" applyFont="1" applyFill="1" applyBorder="1" applyAlignment="1"/>
    <xf numFmtId="9" fontId="4" fillId="18" borderId="20" xfId="1" applyNumberFormat="1" applyFont="1" applyFill="1" applyBorder="1" applyAlignment="1">
      <alignment horizontal="right"/>
    </xf>
    <xf numFmtId="41" fontId="4" fillId="38" borderId="24" xfId="0" applyNumberFormat="1" applyFont="1" applyFill="1" applyBorder="1" applyAlignment="1"/>
    <xf numFmtId="41" fontId="4" fillId="38" borderId="25" xfId="0" applyNumberFormat="1" applyFont="1" applyFill="1" applyBorder="1" applyAlignment="1"/>
    <xf numFmtId="41" fontId="4" fillId="38" borderId="4" xfId="0" applyNumberFormat="1" applyFont="1" applyFill="1" applyBorder="1" applyAlignment="1"/>
    <xf numFmtId="41" fontId="4" fillId="38" borderId="4" xfId="0" applyNumberFormat="1" applyFont="1" applyFill="1" applyBorder="1" applyAlignment="1">
      <alignment horizontal="right"/>
    </xf>
    <xf numFmtId="41" fontId="4" fillId="38" borderId="11" xfId="0" applyNumberFormat="1" applyFont="1" applyFill="1" applyBorder="1" applyAlignment="1">
      <alignment horizontal="right"/>
    </xf>
    <xf numFmtId="41" fontId="4" fillId="4" borderId="25" xfId="0" applyNumberFormat="1" applyFont="1" applyFill="1" applyBorder="1" applyAlignment="1"/>
    <xf numFmtId="9" fontId="4" fillId="33" borderId="43" xfId="1" applyFont="1" applyFill="1" applyBorder="1" applyAlignment="1"/>
    <xf numFmtId="9" fontId="4" fillId="33" borderId="44" xfId="1" applyFont="1" applyFill="1" applyBorder="1" applyAlignment="1"/>
    <xf numFmtId="165" fontId="9" fillId="34" borderId="44" xfId="2" applyNumberFormat="1" applyFont="1" applyFill="1" applyBorder="1" applyAlignment="1"/>
    <xf numFmtId="0" fontId="1" fillId="3" borderId="0" xfId="0" applyFont="1" applyFill="1"/>
    <xf numFmtId="0" fontId="7" fillId="2" borderId="34" xfId="0" applyFont="1" applyFill="1" applyBorder="1" applyAlignment="1"/>
    <xf numFmtId="41" fontId="4" fillId="10" borderId="11" xfId="0" applyNumberFormat="1" applyFont="1" applyFill="1" applyBorder="1" applyAlignment="1">
      <alignment horizontal="left"/>
    </xf>
    <xf numFmtId="9" fontId="4" fillId="30" borderId="33" xfId="1" applyFont="1" applyFill="1" applyBorder="1" applyAlignment="1"/>
    <xf numFmtId="164" fontId="4" fillId="30" borderId="33" xfId="1" applyNumberFormat="1" applyFont="1" applyFill="1" applyBorder="1" applyAlignment="1"/>
    <xf numFmtId="9" fontId="4" fillId="30" borderId="34" xfId="1" applyFont="1" applyFill="1" applyBorder="1" applyAlignment="1"/>
    <xf numFmtId="41" fontId="4" fillId="11" borderId="11" xfId="0" applyNumberFormat="1" applyFont="1" applyFill="1" applyBorder="1" applyAlignment="1">
      <alignment horizontal="left"/>
    </xf>
    <xf numFmtId="41" fontId="3" fillId="11" borderId="11" xfId="0" applyNumberFormat="1" applyFont="1" applyFill="1" applyBorder="1" applyAlignment="1">
      <alignment horizontal="left"/>
    </xf>
    <xf numFmtId="41" fontId="3" fillId="11" borderId="5" xfId="0" applyNumberFormat="1" applyFont="1" applyFill="1" applyBorder="1" applyAlignment="1">
      <alignment horizontal="left"/>
    </xf>
    <xf numFmtId="41" fontId="3" fillId="0" borderId="11" xfId="0" applyNumberFormat="1" applyFont="1" applyFill="1" applyBorder="1" applyAlignment="1">
      <alignment horizontal="left"/>
    </xf>
    <xf numFmtId="16" fontId="4" fillId="0" borderId="8" xfId="0" quotePrefix="1" applyNumberFormat="1" applyFont="1" applyFill="1" applyBorder="1" applyAlignment="1">
      <alignment horizontal="center"/>
    </xf>
    <xf numFmtId="41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/>
    <xf numFmtId="41" fontId="3" fillId="0" borderId="12" xfId="0" applyNumberFormat="1" applyFont="1" applyFill="1" applyBorder="1" applyAlignment="1"/>
    <xf numFmtId="41" fontId="4" fillId="37" borderId="1" xfId="0" applyNumberFormat="1" applyFont="1" applyFill="1" applyBorder="1" applyAlignment="1">
      <alignment horizontal="center"/>
    </xf>
    <xf numFmtId="41" fontId="4" fillId="17" borderId="29" xfId="0" applyNumberFormat="1" applyFont="1" applyFill="1" applyBorder="1" applyAlignment="1"/>
    <xf numFmtId="41" fontId="4" fillId="17" borderId="8" xfId="0" applyNumberFormat="1" applyFont="1" applyFill="1" applyBorder="1" applyAlignment="1"/>
    <xf numFmtId="41" fontId="4" fillId="18" borderId="16" xfId="0" applyNumberFormat="1" applyFont="1" applyFill="1" applyBorder="1" applyAlignment="1"/>
    <xf numFmtId="41" fontId="3" fillId="0" borderId="26" xfId="0" applyNumberFormat="1" applyFont="1" applyFill="1" applyBorder="1" applyAlignment="1"/>
    <xf numFmtId="41" fontId="4" fillId="22" borderId="16" xfId="0" applyNumberFormat="1" applyFont="1" applyFill="1" applyBorder="1" applyAlignment="1"/>
    <xf numFmtId="41" fontId="3" fillId="0" borderId="8" xfId="0" applyNumberFormat="1" applyFont="1" applyFill="1" applyBorder="1" applyAlignment="1"/>
    <xf numFmtId="41" fontId="4" fillId="24" borderId="54" xfId="0" applyNumberFormat="1" applyFont="1" applyFill="1" applyBorder="1" applyAlignment="1"/>
    <xf numFmtId="41" fontId="3" fillId="13" borderId="5" xfId="0" applyNumberFormat="1" applyFont="1" applyFill="1" applyBorder="1" applyAlignment="1"/>
    <xf numFmtId="41" fontId="3" fillId="13" borderId="14" xfId="0" applyNumberFormat="1" applyFont="1" applyFill="1" applyBorder="1" applyAlignment="1"/>
    <xf numFmtId="41" fontId="4" fillId="36" borderId="28" xfId="0" applyNumberFormat="1" applyFont="1" applyFill="1" applyBorder="1" applyAlignment="1"/>
    <xf numFmtId="41" fontId="4" fillId="36" borderId="9" xfId="0" applyNumberFormat="1" applyFont="1" applyFill="1" applyBorder="1" applyAlignment="1"/>
    <xf numFmtId="41" fontId="3" fillId="13" borderId="3" xfId="0" applyNumberFormat="1" applyFont="1" applyFill="1" applyBorder="1" applyAlignment="1"/>
    <xf numFmtId="41" fontId="3" fillId="13" borderId="22" xfId="0" applyNumberFormat="1" applyFont="1" applyFill="1" applyBorder="1" applyAlignment="1"/>
    <xf numFmtId="41" fontId="3" fillId="13" borderId="9" xfId="0" applyNumberFormat="1" applyFont="1" applyFill="1" applyBorder="1" applyAlignment="1"/>
    <xf numFmtId="41" fontId="4" fillId="28" borderId="16" xfId="0" applyNumberFormat="1" applyFont="1" applyFill="1" applyBorder="1" applyAlignment="1"/>
    <xf numFmtId="165" fontId="4" fillId="32" borderId="16" xfId="2" applyNumberFormat="1" applyFont="1" applyFill="1" applyBorder="1" applyAlignment="1">
      <alignment horizontal="right"/>
    </xf>
    <xf numFmtId="41" fontId="4" fillId="33" borderId="16" xfId="0" applyNumberFormat="1" applyFont="1" applyFill="1" applyBorder="1" applyAlignment="1"/>
    <xf numFmtId="41" fontId="4" fillId="31" borderId="18" xfId="0" applyNumberFormat="1" applyFont="1" applyFill="1" applyBorder="1" applyAlignment="1"/>
    <xf numFmtId="41" fontId="3" fillId="11" borderId="1" xfId="0" applyNumberFormat="1" applyFont="1" applyFill="1" applyBorder="1" applyAlignment="1">
      <alignment horizontal="left"/>
    </xf>
    <xf numFmtId="41" fontId="3" fillId="11" borderId="1" xfId="0" applyNumberFormat="1" applyFont="1" applyFill="1" applyBorder="1" applyAlignment="1"/>
    <xf numFmtId="41" fontId="4" fillId="35" borderId="1" xfId="0" applyNumberFormat="1" applyFont="1" applyFill="1" applyBorder="1" applyAlignment="1"/>
    <xf numFmtId="165" fontId="3" fillId="0" borderId="55" xfId="2" applyNumberFormat="1" applyFont="1" applyFill="1" applyBorder="1" applyAlignment="1"/>
    <xf numFmtId="165" fontId="3" fillId="11" borderId="56" xfId="2" applyNumberFormat="1" applyFont="1" applyFill="1" applyBorder="1" applyAlignment="1"/>
    <xf numFmtId="165" fontId="3" fillId="0" borderId="56" xfId="2" applyNumberFormat="1" applyFont="1" applyFill="1" applyBorder="1" applyAlignment="1"/>
    <xf numFmtId="165" fontId="3" fillId="0" borderId="57" xfId="2" applyNumberFormat="1" applyFont="1" applyFill="1" applyBorder="1" applyAlignment="1"/>
    <xf numFmtId="41" fontId="4" fillId="24" borderId="16" xfId="0" applyNumberFormat="1" applyFont="1" applyFill="1" applyBorder="1" applyAlignment="1"/>
    <xf numFmtId="41" fontId="3" fillId="11" borderId="2" xfId="0" applyNumberFormat="1" applyFont="1" applyFill="1" applyBorder="1" applyAlignment="1"/>
    <xf numFmtId="41" fontId="4" fillId="31" borderId="16" xfId="0" applyNumberFormat="1" applyFont="1" applyFill="1" applyBorder="1" applyAlignment="1"/>
    <xf numFmtId="41" fontId="4" fillId="37" borderId="2" xfId="0" applyNumberFormat="1" applyFont="1" applyFill="1" applyBorder="1" applyAlignment="1">
      <alignment horizontal="right"/>
    </xf>
    <xf numFmtId="41" fontId="4" fillId="37" borderId="1" xfId="0" applyNumberFormat="1" applyFont="1" applyFill="1" applyBorder="1" applyAlignment="1">
      <alignment horizontal="right"/>
    </xf>
    <xf numFmtId="41" fontId="16" fillId="33" borderId="43" xfId="0" applyNumberFormat="1" applyFont="1" applyFill="1" applyBorder="1" applyAlignment="1"/>
    <xf numFmtId="41" fontId="4" fillId="14" borderId="11" xfId="0" applyNumberFormat="1" applyFont="1" applyFill="1" applyBorder="1" applyAlignment="1">
      <alignment horizontal="center"/>
    </xf>
    <xf numFmtId="0" fontId="13" fillId="2" borderId="35" xfId="0" applyFont="1" applyFill="1" applyBorder="1" applyAlignment="1"/>
    <xf numFmtId="0" fontId="7" fillId="0" borderId="35" xfId="0" applyFont="1" applyFill="1" applyBorder="1" applyAlignment="1"/>
    <xf numFmtId="0" fontId="7" fillId="2" borderId="35" xfId="0" applyFont="1" applyFill="1" applyBorder="1" applyAlignment="1"/>
    <xf numFmtId="164" fontId="7" fillId="2" borderId="35" xfId="1" applyNumberFormat="1" applyFont="1" applyFill="1" applyBorder="1" applyAlignment="1"/>
    <xf numFmtId="0" fontId="7" fillId="2" borderId="37" xfId="0" applyFont="1" applyFill="1" applyBorder="1" applyAlignment="1"/>
    <xf numFmtId="41" fontId="4" fillId="37" borderId="20" xfId="0" applyNumberFormat="1" applyFont="1" applyFill="1" applyBorder="1" applyAlignment="1">
      <alignment horizontal="right"/>
    </xf>
    <xf numFmtId="41" fontId="4" fillId="37" borderId="16" xfId="0" applyNumberFormat="1" applyFont="1" applyFill="1" applyBorder="1" applyAlignment="1">
      <alignment horizontal="right"/>
    </xf>
    <xf numFmtId="41" fontId="4" fillId="37" borderId="17" xfId="0" applyNumberFormat="1" applyFont="1" applyFill="1" applyBorder="1" applyAlignment="1">
      <alignment horizontal="right"/>
    </xf>
    <xf numFmtId="41" fontId="4" fillId="14" borderId="20" xfId="0" applyNumberFormat="1" applyFont="1" applyFill="1" applyBorder="1" applyAlignment="1">
      <alignment horizontal="right"/>
    </xf>
    <xf numFmtId="9" fontId="4" fillId="37" borderId="20" xfId="1" applyFont="1" applyFill="1" applyBorder="1" applyAlignment="1">
      <alignment horizontal="right"/>
    </xf>
    <xf numFmtId="9" fontId="4" fillId="41" borderId="20" xfId="1" applyFont="1" applyFill="1" applyBorder="1" applyAlignment="1"/>
    <xf numFmtId="41" fontId="4" fillId="38" borderId="20" xfId="0" applyNumberFormat="1" applyFont="1" applyFill="1" applyBorder="1" applyAlignment="1">
      <alignment horizontal="right"/>
    </xf>
    <xf numFmtId="41" fontId="3" fillId="13" borderId="1" xfId="0" applyNumberFormat="1" applyFont="1" applyFill="1" applyBorder="1" applyAlignment="1"/>
    <xf numFmtId="41" fontId="4" fillId="35" borderId="41" xfId="0" applyNumberFormat="1" applyFont="1" applyFill="1" applyBorder="1" applyAlignment="1"/>
    <xf numFmtId="165" fontId="3" fillId="0" borderId="2" xfId="2" applyNumberFormat="1" applyFont="1" applyFill="1" applyBorder="1" applyAlignment="1"/>
    <xf numFmtId="165" fontId="3" fillId="0" borderId="12" xfId="2" applyNumberFormat="1" applyFont="1" applyFill="1" applyBorder="1" applyAlignment="1"/>
    <xf numFmtId="16" fontId="4" fillId="12" borderId="59" xfId="0" quotePrefix="1" applyNumberFormat="1" applyFont="1" applyFill="1" applyBorder="1" applyAlignment="1">
      <alignment horizontal="center"/>
    </xf>
    <xf numFmtId="41" fontId="3" fillId="13" borderId="6" xfId="0" applyNumberFormat="1" applyFont="1" applyFill="1" applyBorder="1" applyAlignment="1"/>
    <xf numFmtId="41" fontId="3" fillId="13" borderId="60" xfId="0" applyNumberFormat="1" applyFont="1" applyFill="1" applyBorder="1" applyAlignment="1"/>
    <xf numFmtId="41" fontId="4" fillId="37" borderId="6" xfId="0" applyNumberFormat="1" applyFont="1" applyFill="1" applyBorder="1" applyAlignment="1">
      <alignment horizontal="center"/>
    </xf>
    <xf numFmtId="41" fontId="4" fillId="36" borderId="61" xfId="0" applyNumberFormat="1" applyFont="1" applyFill="1" applyBorder="1" applyAlignment="1"/>
    <xf numFmtId="41" fontId="4" fillId="36" borderId="59" xfId="0" applyNumberFormat="1" applyFont="1" applyFill="1" applyBorder="1" applyAlignment="1"/>
    <xf numFmtId="41" fontId="4" fillId="18" borderId="62" xfId="0" applyNumberFormat="1" applyFont="1" applyFill="1" applyBorder="1" applyAlignment="1"/>
    <xf numFmtId="41" fontId="3" fillId="13" borderId="58" xfId="0" applyNumberFormat="1" applyFont="1" applyFill="1" applyBorder="1" applyAlignment="1"/>
    <xf numFmtId="41" fontId="3" fillId="13" borderId="63" xfId="0" applyNumberFormat="1" applyFont="1" applyFill="1" applyBorder="1" applyAlignment="1"/>
    <xf numFmtId="41" fontId="4" fillId="22" borderId="62" xfId="0" applyNumberFormat="1" applyFont="1" applyFill="1" applyBorder="1" applyAlignment="1"/>
    <xf numFmtId="41" fontId="3" fillId="13" borderId="59" xfId="0" applyNumberFormat="1" applyFont="1" applyFill="1" applyBorder="1" applyAlignment="1"/>
    <xf numFmtId="41" fontId="4" fillId="24" borderId="62" xfId="0" applyNumberFormat="1" applyFont="1" applyFill="1" applyBorder="1" applyAlignment="1"/>
    <xf numFmtId="41" fontId="4" fillId="28" borderId="62" xfId="0" applyNumberFormat="1" applyFont="1" applyFill="1" applyBorder="1" applyAlignment="1"/>
    <xf numFmtId="165" fontId="4" fillId="32" borderId="62" xfId="2" applyNumberFormat="1" applyFont="1" applyFill="1" applyBorder="1" applyAlignment="1">
      <alignment horizontal="right"/>
    </xf>
    <xf numFmtId="41" fontId="4" fillId="33" borderId="62" xfId="0" applyNumberFormat="1" applyFont="1" applyFill="1" applyBorder="1" applyAlignment="1"/>
    <xf numFmtId="41" fontId="3" fillId="11" borderId="6" xfId="0" applyNumberFormat="1" applyFont="1" applyFill="1" applyBorder="1" applyAlignment="1">
      <alignment horizontal="left"/>
    </xf>
    <xf numFmtId="41" fontId="4" fillId="35" borderId="6" xfId="0" applyNumberFormat="1" applyFont="1" applyFill="1" applyBorder="1" applyAlignment="1"/>
    <xf numFmtId="165" fontId="3" fillId="13" borderId="6" xfId="2" applyNumberFormat="1" applyFont="1" applyFill="1" applyBorder="1" applyAlignment="1"/>
    <xf numFmtId="165" fontId="3" fillId="11" borderId="6" xfId="2" applyNumberFormat="1" applyFont="1" applyFill="1" applyBorder="1" applyAlignment="1"/>
    <xf numFmtId="41" fontId="3" fillId="11" borderId="58" xfId="0" applyNumberFormat="1" applyFont="1" applyFill="1" applyBorder="1" applyAlignment="1"/>
    <xf numFmtId="41" fontId="3" fillId="12" borderId="6" xfId="0" applyNumberFormat="1" applyFont="1" applyFill="1" applyBorder="1" applyAlignment="1"/>
    <xf numFmtId="41" fontId="3" fillId="12" borderId="60" xfId="0" applyNumberFormat="1" applyFont="1" applyFill="1" applyBorder="1" applyAlignment="1"/>
    <xf numFmtId="41" fontId="4" fillId="31" borderId="62" xfId="0" applyNumberFormat="1" applyFont="1" applyFill="1" applyBorder="1" applyAlignment="1"/>
    <xf numFmtId="41" fontId="4" fillId="37" borderId="58" xfId="0" applyNumberFormat="1" applyFont="1" applyFill="1" applyBorder="1" applyAlignment="1">
      <alignment horizontal="right"/>
    </xf>
    <xf numFmtId="41" fontId="4" fillId="37" borderId="6" xfId="0" applyNumberFormat="1" applyFont="1" applyFill="1" applyBorder="1" applyAlignment="1">
      <alignment horizontal="right"/>
    </xf>
    <xf numFmtId="41" fontId="16" fillId="33" borderId="64" xfId="0" applyNumberFormat="1" applyFont="1" applyFill="1" applyBorder="1" applyAlignment="1"/>
    <xf numFmtId="41" fontId="4" fillId="37" borderId="62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9" fontId="4" fillId="7" borderId="4" xfId="0" applyNumberFormat="1" applyFont="1" applyFill="1" applyBorder="1" applyAlignment="1"/>
    <xf numFmtId="9" fontId="4" fillId="41" borderId="4" xfId="0" applyNumberFormat="1" applyFont="1" applyFill="1" applyBorder="1" applyAlignment="1"/>
    <xf numFmtId="9" fontId="7" fillId="12" borderId="4" xfId="1" applyNumberFormat="1" applyFont="1" applyFill="1" applyBorder="1" applyAlignment="1"/>
    <xf numFmtId="49" fontId="4" fillId="12" borderId="9" xfId="0" quotePrefix="1" applyNumberFormat="1" applyFont="1" applyFill="1" applyBorder="1" applyAlignment="1">
      <alignment horizontal="center"/>
    </xf>
    <xf numFmtId="41" fontId="3" fillId="12" borderId="5" xfId="0" applyNumberFormat="1" applyFont="1" applyFill="1" applyBorder="1" applyAlignment="1"/>
    <xf numFmtId="41" fontId="3" fillId="12" borderId="14" xfId="0" applyNumberFormat="1" applyFont="1" applyFill="1" applyBorder="1" applyAlignment="1"/>
    <xf numFmtId="41" fontId="3" fillId="0" borderId="58" xfId="0" applyNumberFormat="1" applyFont="1" applyFill="1" applyBorder="1" applyAlignment="1"/>
    <xf numFmtId="41" fontId="3" fillId="0" borderId="6" xfId="0" applyNumberFormat="1" applyFont="1" applyFill="1" applyBorder="1" applyAlignment="1"/>
    <xf numFmtId="41" fontId="3" fillId="0" borderId="60" xfId="0" applyNumberFormat="1" applyFont="1" applyFill="1" applyBorder="1" applyAlignment="1"/>
    <xf numFmtId="41" fontId="4" fillId="17" borderId="61" xfId="0" applyNumberFormat="1" applyFont="1" applyFill="1" applyBorder="1" applyAlignment="1"/>
    <xf numFmtId="41" fontId="4" fillId="17" borderId="59" xfId="0" applyNumberFormat="1" applyFont="1" applyFill="1" applyBorder="1" applyAlignment="1"/>
    <xf numFmtId="41" fontId="3" fillId="0" borderId="63" xfId="0" applyNumberFormat="1" applyFont="1" applyFill="1" applyBorder="1" applyAlignment="1"/>
    <xf numFmtId="41" fontId="3" fillId="0" borderId="59" xfId="0" applyNumberFormat="1" applyFont="1" applyFill="1" applyBorder="1" applyAlignment="1"/>
    <xf numFmtId="16" fontId="4" fillId="0" borderId="59" xfId="0" quotePrefix="1" applyNumberFormat="1" applyFont="1" applyFill="1" applyBorder="1" applyAlignment="1">
      <alignment horizontal="center"/>
    </xf>
    <xf numFmtId="165" fontId="3" fillId="0" borderId="6" xfId="2" applyNumberFormat="1" applyFont="1" applyFill="1" applyBorder="1" applyAlignment="1"/>
    <xf numFmtId="0" fontId="6" fillId="2" borderId="0" xfId="0" applyFont="1" applyFill="1" applyAlignment="1"/>
    <xf numFmtId="0" fontId="20" fillId="44" borderId="0" xfId="7" applyAlignment="1"/>
    <xf numFmtId="0" fontId="20" fillId="44" borderId="0" xfId="7"/>
    <xf numFmtId="0" fontId="7" fillId="2" borderId="0" xfId="0" quotePrefix="1" applyFont="1" applyFill="1" applyAlignment="1"/>
    <xf numFmtId="0" fontId="21" fillId="3" borderId="0" xfId="0" applyFont="1" applyFill="1" applyBorder="1" applyAlignment="1"/>
    <xf numFmtId="0" fontId="21" fillId="3" borderId="10" xfId="0" applyFont="1" applyFill="1" applyBorder="1" applyAlignment="1"/>
    <xf numFmtId="165" fontId="3" fillId="13" borderId="5" xfId="2" applyNumberFormat="1" applyFont="1" applyFill="1" applyBorder="1" applyAlignment="1"/>
    <xf numFmtId="165" fontId="3" fillId="11" borderId="5" xfId="2" applyNumberFormat="1" applyFont="1" applyFill="1" applyBorder="1" applyAlignment="1"/>
    <xf numFmtId="49" fontId="4" fillId="12" borderId="59" xfId="0" quotePrefix="1" applyNumberFormat="1" applyFont="1" applyFill="1" applyBorder="1" applyAlignment="1">
      <alignment horizontal="center"/>
    </xf>
    <xf numFmtId="0" fontId="0" fillId="0" borderId="0" xfId="0"/>
    <xf numFmtId="0" fontId="13" fillId="0" borderId="0" xfId="0" applyFont="1"/>
    <xf numFmtId="0" fontId="19" fillId="43" borderId="0" xfId="6"/>
    <xf numFmtId="0" fontId="23" fillId="45" borderId="0" xfId="8"/>
    <xf numFmtId="0" fontId="23" fillId="45" borderId="0" xfId="8" applyAlignment="1"/>
    <xf numFmtId="0" fontId="1" fillId="2" borderId="0" xfId="0" applyFont="1" applyFill="1" applyAlignment="1"/>
    <xf numFmtId="0" fontId="6" fillId="13" borderId="51" xfId="0" applyFont="1" applyFill="1" applyBorder="1"/>
    <xf numFmtId="0" fontId="6" fillId="13" borderId="53" xfId="0" applyFont="1" applyFill="1" applyBorder="1"/>
    <xf numFmtId="0" fontId="2" fillId="2" borderId="0" xfId="0" applyFont="1" applyFill="1" applyAlignment="1"/>
    <xf numFmtId="41" fontId="4" fillId="37" borderId="25" xfId="0" applyNumberFormat="1" applyFont="1" applyFill="1" applyBorder="1" applyAlignment="1"/>
    <xf numFmtId="41" fontId="4" fillId="12" borderId="25" xfId="0" applyNumberFormat="1" applyFont="1" applyFill="1" applyBorder="1" applyAlignment="1"/>
    <xf numFmtId="49" fontId="4" fillId="12" borderId="67" xfId="0" quotePrefix="1" applyNumberFormat="1" applyFont="1" applyFill="1" applyBorder="1" applyAlignment="1">
      <alignment horizontal="center"/>
    </xf>
    <xf numFmtId="41" fontId="4" fillId="35" borderId="67" xfId="0" applyNumberFormat="1" applyFont="1" applyFill="1" applyBorder="1" applyAlignment="1"/>
    <xf numFmtId="0" fontId="6" fillId="2" borderId="0" xfId="0" applyFont="1" applyFill="1"/>
    <xf numFmtId="0" fontId="6" fillId="2" borderId="7" xfId="0" applyFont="1" applyFill="1" applyBorder="1" applyAlignment="1"/>
    <xf numFmtId="0" fontId="1" fillId="2" borderId="7" xfId="0" applyFont="1" applyFill="1" applyBorder="1" applyAlignment="1"/>
    <xf numFmtId="0" fontId="1" fillId="3" borderId="7" xfId="0" applyFont="1" applyFill="1" applyBorder="1" applyAlignment="1"/>
    <xf numFmtId="0" fontId="6" fillId="3" borderId="7" xfId="0" applyFont="1" applyFill="1" applyBorder="1" applyAlignment="1"/>
    <xf numFmtId="0" fontId="6" fillId="0" borderId="7" xfId="0" applyFont="1" applyFill="1" applyBorder="1" applyAlignment="1"/>
    <xf numFmtId="0" fontId="1" fillId="0" borderId="7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/>
    <xf numFmtId="0" fontId="4" fillId="0" borderId="4" xfId="0" applyFont="1" applyFill="1" applyBorder="1" applyAlignment="1"/>
    <xf numFmtId="0" fontId="3" fillId="3" borderId="4" xfId="0" applyFont="1" applyFill="1" applyBorder="1" applyAlignment="1"/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4" fillId="12" borderId="58" xfId="0" applyFont="1" applyFill="1" applyBorder="1" applyAlignment="1"/>
    <xf numFmtId="0" fontId="4" fillId="0" borderId="58" xfId="0" applyFont="1" applyFill="1" applyBorder="1" applyAlignment="1"/>
    <xf numFmtId="0" fontId="3" fillId="12" borderId="3" xfId="0" applyFont="1" applyFill="1" applyBorder="1" applyAlignment="1"/>
    <xf numFmtId="0" fontId="4" fillId="12" borderId="4" xfId="0" applyFont="1" applyFill="1" applyBorder="1" applyAlignment="1"/>
    <xf numFmtId="0" fontId="3" fillId="0" borderId="4" xfId="0" applyFont="1" applyFill="1" applyBorder="1" applyAlignment="1"/>
    <xf numFmtId="49" fontId="3" fillId="2" borderId="2" xfId="0" applyNumberFormat="1" applyFont="1" applyFill="1" applyBorder="1" applyAlignment="1">
      <alignment horizontal="left" indent="1"/>
    </xf>
    <xf numFmtId="49" fontId="3" fillId="2" borderId="1" xfId="0" applyNumberFormat="1" applyFont="1" applyFill="1" applyBorder="1" applyAlignment="1">
      <alignment horizontal="left" indent="1"/>
    </xf>
    <xf numFmtId="0" fontId="3" fillId="2" borderId="12" xfId="0" applyFont="1" applyFill="1" applyBorder="1" applyAlignment="1">
      <alignment horizontal="left" indent="1"/>
    </xf>
    <xf numFmtId="0" fontId="4" fillId="17" borderId="1" xfId="0" applyFont="1" applyFill="1" applyBorder="1" applyAlignment="1">
      <alignment horizontal="left"/>
    </xf>
    <xf numFmtId="0" fontId="4" fillId="36" borderId="29" xfId="0" applyFont="1" applyFill="1" applyBorder="1" applyAlignment="1">
      <alignment horizontal="left"/>
    </xf>
    <xf numFmtId="49" fontId="4" fillId="36" borderId="8" xfId="0" applyNumberFormat="1" applyFont="1" applyFill="1" applyBorder="1" applyAlignment="1">
      <alignment horizontal="left"/>
    </xf>
    <xf numFmtId="0" fontId="4" fillId="18" borderId="16" xfId="0" applyFont="1" applyFill="1" applyBorder="1" applyAlignment="1"/>
    <xf numFmtId="0" fontId="9" fillId="19" borderId="8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0" borderId="26" xfId="0" applyFont="1" applyFill="1" applyBorder="1" applyAlignment="1">
      <alignment horizontal="left" indent="1"/>
    </xf>
    <xf numFmtId="0" fontId="3" fillId="0" borderId="12" xfId="0" applyFont="1" applyFill="1" applyBorder="1" applyAlignment="1">
      <alignment horizontal="left" indent="1"/>
    </xf>
    <xf numFmtId="0" fontId="28" fillId="2" borderId="0" xfId="0" applyFont="1" applyFill="1" applyAlignment="1"/>
    <xf numFmtId="0" fontId="3" fillId="2" borderId="1" xfId="0" applyFont="1" applyFill="1" applyBorder="1" applyAlignment="1">
      <alignment horizontal="left" indent="1"/>
    </xf>
    <xf numFmtId="0" fontId="4" fillId="22" borderId="20" xfId="0" applyFont="1" applyFill="1" applyBorder="1" applyAlignment="1">
      <alignment horizontal="left"/>
    </xf>
    <xf numFmtId="0" fontId="9" fillId="23" borderId="3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indent="1"/>
    </xf>
    <xf numFmtId="0" fontId="3" fillId="0" borderId="25" xfId="0" applyFont="1" applyFill="1" applyBorder="1" applyAlignment="1">
      <alignment horizontal="left" indent="1"/>
    </xf>
    <xf numFmtId="0" fontId="3" fillId="2" borderId="11" xfId="0" applyFont="1" applyFill="1" applyBorder="1" applyAlignment="1">
      <alignment horizontal="left" indent="1"/>
    </xf>
    <xf numFmtId="0" fontId="3" fillId="2" borderId="23" xfId="0" applyFont="1" applyFill="1" applyBorder="1" applyAlignment="1">
      <alignment horizontal="left" indent="1"/>
    </xf>
    <xf numFmtId="0" fontId="4" fillId="24" borderId="32" xfId="0" applyFont="1" applyFill="1" applyBorder="1" applyAlignment="1">
      <alignment horizontal="left"/>
    </xf>
    <xf numFmtId="0" fontId="4" fillId="26" borderId="31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left" indent="1"/>
    </xf>
    <xf numFmtId="0" fontId="4" fillId="28" borderId="16" xfId="0" applyFont="1" applyFill="1" applyBorder="1" applyAlignment="1">
      <alignment horizontal="left"/>
    </xf>
    <xf numFmtId="0" fontId="4" fillId="30" borderId="8" xfId="0" applyFont="1" applyFill="1" applyBorder="1" applyAlignment="1">
      <alignment horizontal="left"/>
    </xf>
    <xf numFmtId="0" fontId="4" fillId="32" borderId="16" xfId="0" applyFont="1" applyFill="1" applyBorder="1" applyAlignment="1">
      <alignment horizontal="left"/>
    </xf>
    <xf numFmtId="0" fontId="4" fillId="33" borderId="16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31" fillId="2" borderId="0" xfId="3" applyFont="1" applyFill="1" applyBorder="1" applyAlignment="1">
      <alignment horizontal="left"/>
    </xf>
    <xf numFmtId="0" fontId="15" fillId="2" borderId="0" xfId="3" applyFont="1" applyFill="1" applyBorder="1" applyAlignment="1">
      <alignment horizontal="left"/>
    </xf>
    <xf numFmtId="0" fontId="32" fillId="2" borderId="0" xfId="3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0" fontId="15" fillId="6" borderId="0" xfId="3" applyFont="1" applyFill="1" applyBorder="1" applyAlignment="1">
      <alignment horizontal="left"/>
    </xf>
    <xf numFmtId="164" fontId="15" fillId="2" borderId="0" xfId="4" applyNumberFormat="1" applyFont="1" applyFill="1" applyBorder="1" applyAlignment="1">
      <alignment horizontal="left"/>
    </xf>
    <xf numFmtId="0" fontId="4" fillId="0" borderId="36" xfId="0" applyFont="1" applyFill="1" applyBorder="1" applyAlignment="1"/>
    <xf numFmtId="0" fontId="4" fillId="16" borderId="29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indent="1"/>
    </xf>
    <xf numFmtId="0" fontId="4" fillId="18" borderId="41" xfId="0" applyFont="1" applyFill="1" applyBorder="1" applyAlignment="1">
      <alignment horizontal="left"/>
    </xf>
    <xf numFmtId="0" fontId="9" fillId="19" borderId="31" xfId="0" applyFont="1" applyFill="1" applyBorder="1" applyAlignment="1">
      <alignment horizontal="left"/>
    </xf>
    <xf numFmtId="0" fontId="13" fillId="0" borderId="4" xfId="5" applyFont="1" applyBorder="1" applyAlignment="1">
      <alignment horizontal="left" indent="1"/>
    </xf>
    <xf numFmtId="49" fontId="3" fillId="2" borderId="11" xfId="0" applyNumberFormat="1" applyFont="1" applyFill="1" applyBorder="1" applyAlignment="1" applyProtection="1">
      <alignment horizontal="left" indent="1"/>
      <protection locked="0"/>
    </xf>
    <xf numFmtId="49" fontId="3" fillId="2" borderId="11" xfId="0" applyNumberFormat="1" applyFont="1" applyFill="1" applyBorder="1" applyAlignment="1">
      <alignment horizontal="left" indent="1"/>
    </xf>
    <xf numFmtId="0" fontId="4" fillId="22" borderId="16" xfId="0" applyFont="1" applyFill="1" applyBorder="1" applyAlignment="1">
      <alignment horizontal="left"/>
    </xf>
    <xf numFmtId="0" fontId="9" fillId="23" borderId="8" xfId="0" applyFont="1" applyFill="1" applyBorder="1" applyAlignment="1">
      <alignment horizontal="left"/>
    </xf>
    <xf numFmtId="0" fontId="4" fillId="24" borderId="16" xfId="0" applyFont="1" applyFill="1" applyBorder="1" applyAlignment="1">
      <alignment horizontal="left"/>
    </xf>
    <xf numFmtId="0" fontId="4" fillId="30" borderId="3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0" fontId="4" fillId="30" borderId="20" xfId="0" applyFont="1" applyFill="1" applyBorder="1" applyAlignment="1">
      <alignment horizontal="left"/>
    </xf>
    <xf numFmtId="49" fontId="4" fillId="2" borderId="31" xfId="0" applyNumberFormat="1" applyFont="1" applyFill="1" applyBorder="1" applyAlignment="1">
      <alignment horizontal="left"/>
    </xf>
    <xf numFmtId="0" fontId="6" fillId="2" borderId="33" xfId="0" applyFont="1" applyFill="1" applyBorder="1" applyAlignment="1"/>
    <xf numFmtId="0" fontId="6" fillId="0" borderId="33" xfId="0" applyFont="1" applyFill="1" applyBorder="1" applyAlignment="1"/>
    <xf numFmtId="0" fontId="6" fillId="6" borderId="33" xfId="0" applyFont="1" applyFill="1" applyBorder="1" applyAlignment="1"/>
    <xf numFmtId="0" fontId="4" fillId="37" borderId="1" xfId="0" applyFont="1" applyFill="1" applyBorder="1" applyAlignment="1">
      <alignment horizontal="right"/>
    </xf>
    <xf numFmtId="0" fontId="6" fillId="3" borderId="0" xfId="0" applyFont="1" applyFill="1" applyAlignment="1"/>
    <xf numFmtId="0" fontId="6" fillId="3" borderId="0" xfId="0" applyFont="1" applyFill="1" applyBorder="1" applyAlignment="1"/>
    <xf numFmtId="0" fontId="1" fillId="3" borderId="0" xfId="0" applyFont="1" applyFill="1" applyAlignment="1"/>
    <xf numFmtId="0" fontId="1" fillId="0" borderId="0" xfId="0" applyFont="1" applyFill="1" applyAlignment="1"/>
    <xf numFmtId="0" fontId="16" fillId="33" borderId="42" xfId="0" applyFont="1" applyFill="1" applyBorder="1" applyAlignment="1">
      <alignment horizontal="right"/>
    </xf>
    <xf numFmtId="49" fontId="4" fillId="2" borderId="36" xfId="0" applyNumberFormat="1" applyFont="1" applyFill="1" applyBorder="1" applyAlignment="1">
      <alignment horizontal="left"/>
    </xf>
    <xf numFmtId="0" fontId="6" fillId="2" borderId="35" xfId="0" applyFont="1" applyFill="1" applyBorder="1" applyAlignment="1"/>
    <xf numFmtId="0" fontId="6" fillId="0" borderId="35" xfId="0" applyFont="1" applyFill="1" applyBorder="1" applyAlignment="1"/>
    <xf numFmtId="0" fontId="6" fillId="6" borderId="35" xfId="0" applyFont="1" applyFill="1" applyBorder="1" applyAlignment="1"/>
    <xf numFmtId="0" fontId="4" fillId="37" borderId="16" xfId="0" applyFont="1" applyFill="1" applyBorder="1" applyAlignment="1">
      <alignment horizontal="left" indent="1"/>
    </xf>
    <xf numFmtId="41" fontId="4" fillId="3" borderId="0" xfId="0" applyNumberFormat="1" applyFont="1" applyFill="1"/>
    <xf numFmtId="0" fontId="3" fillId="2" borderId="0" xfId="0" applyFont="1" applyFill="1"/>
    <xf numFmtId="41" fontId="3" fillId="2" borderId="0" xfId="0" applyNumberFormat="1" applyFont="1" applyFill="1"/>
    <xf numFmtId="0" fontId="3" fillId="2" borderId="0" xfId="0" applyFont="1" applyFill="1" applyBorder="1"/>
    <xf numFmtId="0" fontId="1" fillId="3" borderId="0" xfId="0" applyFont="1" applyFill="1" applyBorder="1" applyAlignment="1"/>
    <xf numFmtId="0" fontId="6" fillId="42" borderId="50" xfId="0" applyFont="1" applyFill="1" applyBorder="1" applyAlignment="1">
      <alignment horizontal="left" indent="1"/>
    </xf>
    <xf numFmtId="0" fontId="22" fillId="5" borderId="0" xfId="0" applyFont="1" applyFill="1" applyBorder="1" applyAlignment="1">
      <alignment horizontal="left"/>
    </xf>
    <xf numFmtId="0" fontId="6" fillId="12" borderId="2" xfId="0" applyFont="1" applyFill="1" applyBorder="1" applyAlignment="1">
      <alignment horizontal="left"/>
    </xf>
    <xf numFmtId="0" fontId="6" fillId="12" borderId="21" xfId="0" applyFont="1" applyFill="1" applyBorder="1" applyAlignment="1">
      <alignment horizontal="left"/>
    </xf>
    <xf numFmtId="0" fontId="6" fillId="13" borderId="2" xfId="0" applyFont="1" applyFill="1" applyBorder="1" applyAlignment="1"/>
    <xf numFmtId="0" fontId="6" fillId="13" borderId="21" xfId="0" applyFont="1" applyFill="1" applyBorder="1" applyAlignment="1"/>
    <xf numFmtId="0" fontId="6" fillId="13" borderId="66" xfId="0" applyFont="1" applyFill="1" applyBorder="1" applyAlignment="1"/>
    <xf numFmtId="0" fontId="6" fillId="12" borderId="1" xfId="0" applyFont="1" applyFill="1" applyBorder="1" applyAlignment="1"/>
    <xf numFmtId="0" fontId="6" fillId="12" borderId="0" xfId="0" applyFont="1" applyFill="1" applyBorder="1" applyAlignment="1"/>
    <xf numFmtId="0" fontId="6" fillId="12" borderId="51" xfId="0" applyFont="1" applyFill="1" applyBorder="1" applyAlignment="1"/>
    <xf numFmtId="0" fontId="6" fillId="11" borderId="1" xfId="0" applyFont="1" applyFill="1" applyBorder="1" applyAlignment="1"/>
    <xf numFmtId="0" fontId="6" fillId="11" borderId="0" xfId="0" applyFont="1" applyFill="1" applyBorder="1" applyAlignment="1"/>
    <xf numFmtId="0" fontId="6" fillId="42" borderId="52" xfId="0" applyFont="1" applyFill="1" applyBorder="1" applyAlignment="1">
      <alignment horizontal="left" indent="1"/>
    </xf>
    <xf numFmtId="0" fontId="22" fillId="5" borderId="10" xfId="0" applyFont="1" applyFill="1" applyBorder="1" applyAlignment="1">
      <alignment horizontal="left"/>
    </xf>
    <xf numFmtId="0" fontId="6" fillId="11" borderId="30" xfId="0" applyFont="1" applyFill="1" applyBorder="1" applyAlignment="1"/>
    <xf numFmtId="0" fontId="6" fillId="11" borderId="10" xfId="0" applyFont="1" applyFill="1" applyBorder="1" applyAlignment="1"/>
    <xf numFmtId="0" fontId="6" fillId="13" borderId="10" xfId="0" applyFont="1" applyFill="1" applyBorder="1"/>
    <xf numFmtId="0" fontId="34" fillId="2" borderId="0" xfId="0" applyFont="1" applyFill="1" applyBorder="1" applyAlignment="1">
      <alignment horizontal="right" vertical="center"/>
    </xf>
    <xf numFmtId="0" fontId="35" fillId="2" borderId="0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6" fillId="2" borderId="0" xfId="0" applyFont="1" applyFill="1"/>
    <xf numFmtId="0" fontId="37" fillId="2" borderId="0" xfId="0" applyFont="1" applyFill="1"/>
    <xf numFmtId="0" fontId="34" fillId="2" borderId="0" xfId="0" applyFont="1" applyFill="1"/>
    <xf numFmtId="9" fontId="4" fillId="37" borderId="1" xfId="1" applyFont="1" applyFill="1" applyBorder="1" applyAlignment="1">
      <alignment horizontal="right"/>
    </xf>
    <xf numFmtId="9" fontId="4" fillId="37" borderId="5" xfId="1" applyFont="1" applyFill="1" applyBorder="1" applyAlignment="1">
      <alignment horizontal="right"/>
    </xf>
    <xf numFmtId="0" fontId="38" fillId="2" borderId="0" xfId="0" applyFont="1" applyFill="1" applyAlignment="1"/>
    <xf numFmtId="49" fontId="4" fillId="12" borderId="58" xfId="0" quotePrefix="1" applyNumberFormat="1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0" fillId="2" borderId="0" xfId="0" applyFont="1" applyFill="1"/>
    <xf numFmtId="0" fontId="27" fillId="2" borderId="0" xfId="0" applyFont="1" applyFill="1"/>
    <xf numFmtId="0" fontId="40" fillId="2" borderId="0" xfId="0" applyFont="1" applyFill="1" applyAlignment="1">
      <alignment vertical="center"/>
    </xf>
    <xf numFmtId="0" fontId="4" fillId="36" borderId="8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indent="1"/>
    </xf>
    <xf numFmtId="49" fontId="3" fillId="2" borderId="25" xfId="0" applyNumberFormat="1" applyFont="1" applyFill="1" applyBorder="1" applyAlignment="1">
      <alignment horizontal="left" indent="1"/>
    </xf>
    <xf numFmtId="0" fontId="4" fillId="12" borderId="58" xfId="0" applyFont="1" applyFill="1" applyBorder="1" applyAlignment="1">
      <alignment horizontal="center"/>
    </xf>
    <xf numFmtId="0" fontId="4" fillId="17" borderId="8" xfId="0" applyFont="1" applyFill="1" applyBorder="1" applyAlignment="1">
      <alignment horizontal="left"/>
    </xf>
    <xf numFmtId="41" fontId="4" fillId="37" borderId="23" xfId="0" applyNumberFormat="1" applyFont="1" applyFill="1" applyBorder="1" applyAlignment="1"/>
    <xf numFmtId="41" fontId="4" fillId="37" borderId="8" xfId="0" applyNumberFormat="1" applyFont="1" applyFill="1" applyBorder="1" applyAlignment="1"/>
    <xf numFmtId="41" fontId="4" fillId="37" borderId="59" xfId="0" applyNumberFormat="1" applyFont="1" applyFill="1" applyBorder="1" applyAlignment="1"/>
    <xf numFmtId="41" fontId="4" fillId="37" borderId="9" xfId="0" applyNumberFormat="1" applyFont="1" applyFill="1" applyBorder="1" applyAlignment="1"/>
    <xf numFmtId="41" fontId="4" fillId="14" borderId="23" xfId="0" applyNumberFormat="1" applyFont="1" applyFill="1" applyBorder="1" applyAlignment="1"/>
    <xf numFmtId="164" fontId="4" fillId="40" borderId="23" xfId="0" applyNumberFormat="1" applyFont="1" applyFill="1" applyBorder="1" applyAlignment="1"/>
    <xf numFmtId="164" fontId="7" fillId="37" borderId="23" xfId="1" applyNumberFormat="1" applyFont="1" applyFill="1" applyBorder="1" applyAlignment="1"/>
    <xf numFmtId="49" fontId="3" fillId="2" borderId="12" xfId="0" applyNumberFormat="1" applyFont="1" applyFill="1" applyBorder="1" applyAlignment="1">
      <alignment horizontal="left" indent="1"/>
    </xf>
    <xf numFmtId="41" fontId="3" fillId="3" borderId="25" xfId="0" applyNumberFormat="1" applyFont="1" applyFill="1" applyBorder="1" applyAlignment="1"/>
    <xf numFmtId="41" fontId="3" fillId="6" borderId="25" xfId="0" applyNumberFormat="1" applyFont="1" applyFill="1" applyBorder="1" applyAlignment="1"/>
    <xf numFmtId="41" fontId="3" fillId="11" borderId="25" xfId="0" applyNumberFormat="1" applyFont="1" applyFill="1" applyBorder="1" applyAlignment="1"/>
    <xf numFmtId="41" fontId="3" fillId="11" borderId="60" xfId="0" applyNumberFormat="1" applyFont="1" applyFill="1" applyBorder="1" applyAlignment="1"/>
    <xf numFmtId="41" fontId="3" fillId="11" borderId="14" xfId="0" applyNumberFormat="1" applyFont="1" applyFill="1" applyBorder="1" applyAlignment="1"/>
    <xf numFmtId="41" fontId="4" fillId="8" borderId="25" xfId="0" applyNumberFormat="1" applyFont="1" applyFill="1" applyBorder="1" applyAlignment="1"/>
    <xf numFmtId="41" fontId="4" fillId="15" borderId="23" xfId="0" applyNumberFormat="1" applyFont="1" applyFill="1" applyBorder="1" applyAlignment="1"/>
    <xf numFmtId="41" fontId="4" fillId="37" borderId="4" xfId="0" applyNumberFormat="1" applyFont="1" applyFill="1" applyBorder="1" applyAlignment="1"/>
    <xf numFmtId="41" fontId="4" fillId="37" borderId="2" xfId="0" applyNumberFormat="1" applyFont="1" applyFill="1" applyBorder="1" applyAlignment="1"/>
    <xf numFmtId="41" fontId="4" fillId="37" borderId="58" xfId="0" applyNumberFormat="1" applyFont="1" applyFill="1" applyBorder="1" applyAlignment="1"/>
    <xf numFmtId="41" fontId="4" fillId="12" borderId="58" xfId="0" applyNumberFormat="1" applyFont="1" applyFill="1" applyBorder="1" applyAlignment="1"/>
    <xf numFmtId="41" fontId="4" fillId="12" borderId="3" xfId="0" applyNumberFormat="1" applyFont="1" applyFill="1" applyBorder="1" applyAlignment="1"/>
    <xf numFmtId="41" fontId="4" fillId="12" borderId="4" xfId="0" applyNumberFormat="1" applyFont="1" applyFill="1" applyBorder="1" applyAlignment="1"/>
    <xf numFmtId="41" fontId="4" fillId="14" borderId="4" xfId="0" applyNumberFormat="1" applyFont="1" applyFill="1" applyBorder="1" applyAlignment="1"/>
    <xf numFmtId="41" fontId="4" fillId="37" borderId="12" xfId="0" applyNumberFormat="1" applyFont="1" applyFill="1" applyBorder="1" applyAlignment="1"/>
    <xf numFmtId="41" fontId="4" fillId="37" borderId="60" xfId="0" applyNumberFormat="1" applyFont="1" applyFill="1" applyBorder="1" applyAlignment="1"/>
    <xf numFmtId="41" fontId="4" fillId="12" borderId="60" xfId="0" applyNumberFormat="1" applyFont="1" applyFill="1" applyBorder="1" applyAlignment="1"/>
    <xf numFmtId="41" fontId="4" fillId="12" borderId="14" xfId="0" applyNumberFormat="1" applyFont="1" applyFill="1" applyBorder="1" applyAlignment="1"/>
    <xf numFmtId="41" fontId="4" fillId="14" borderId="25" xfId="0" applyNumberFormat="1" applyFont="1" applyFill="1" applyBorder="1" applyAlignment="1"/>
    <xf numFmtId="41" fontId="3" fillId="27" borderId="33" xfId="0" applyNumberFormat="1" applyFont="1" applyFill="1" applyBorder="1"/>
    <xf numFmtId="41" fontId="13" fillId="27" borderId="33" xfId="0" applyNumberFormat="1" applyFont="1" applyFill="1" applyBorder="1"/>
    <xf numFmtId="41" fontId="4" fillId="27" borderId="33" xfId="0" applyNumberFormat="1" applyFont="1" applyFill="1" applyBorder="1"/>
    <xf numFmtId="9" fontId="10" fillId="26" borderId="34" xfId="1" applyFont="1" applyFill="1" applyBorder="1" applyAlignment="1"/>
    <xf numFmtId="0" fontId="45" fillId="2" borderId="0" xfId="0" applyFont="1" applyFill="1"/>
    <xf numFmtId="0" fontId="12" fillId="2" borderId="0" xfId="0" applyFont="1" applyFill="1"/>
    <xf numFmtId="0" fontId="13" fillId="2" borderId="0" xfId="0" applyFont="1" applyFill="1"/>
    <xf numFmtId="41" fontId="3" fillId="27" borderId="35" xfId="0" applyNumberFormat="1" applyFont="1" applyFill="1" applyBorder="1"/>
    <xf numFmtId="41" fontId="13" fillId="27" borderId="35" xfId="0" applyNumberFormat="1" applyFont="1" applyFill="1" applyBorder="1"/>
    <xf numFmtId="41" fontId="4" fillId="27" borderId="35" xfId="0" applyNumberFormat="1" applyFont="1" applyFill="1" applyBorder="1"/>
    <xf numFmtId="0" fontId="30" fillId="2" borderId="0" xfId="0" applyFont="1" applyFill="1" applyBorder="1" applyAlignment="1"/>
    <xf numFmtId="49" fontId="3" fillId="2" borderId="8" xfId="0" applyNumberFormat="1" applyFont="1" applyFill="1" applyBorder="1" applyAlignment="1">
      <alignment horizontal="left" indent="1"/>
    </xf>
    <xf numFmtId="164" fontId="4" fillId="7" borderId="23" xfId="0" applyNumberFormat="1" applyFont="1" applyFill="1" applyBorder="1" applyAlignment="1"/>
    <xf numFmtId="164" fontId="4" fillId="41" borderId="23" xfId="0" applyNumberFormat="1" applyFont="1" applyFill="1" applyBorder="1" applyAlignment="1"/>
    <xf numFmtId="164" fontId="7" fillId="12" borderId="23" xfId="1" applyNumberFormat="1" applyFont="1" applyFill="1" applyBorder="1" applyAlignment="1"/>
    <xf numFmtId="41" fontId="4" fillId="38" borderId="23" xfId="0" applyNumberFormat="1" applyFont="1" applyFill="1" applyBorder="1" applyAlignment="1"/>
    <xf numFmtId="0" fontId="3" fillId="2" borderId="25" xfId="0" applyFont="1" applyFill="1" applyBorder="1" applyAlignment="1"/>
    <xf numFmtId="0" fontId="3" fillId="0" borderId="2" xfId="0" applyFont="1" applyFill="1" applyBorder="1" applyAlignment="1">
      <alignment horizontal="left" indent="1"/>
    </xf>
    <xf numFmtId="0" fontId="3" fillId="2" borderId="8" xfId="0" applyFont="1" applyFill="1" applyBorder="1" applyAlignment="1">
      <alignment horizontal="left" indent="1"/>
    </xf>
    <xf numFmtId="9" fontId="4" fillId="7" borderId="23" xfId="0" applyNumberFormat="1" applyFont="1" applyFill="1" applyBorder="1" applyAlignment="1"/>
    <xf numFmtId="9" fontId="4" fillId="41" borderId="23" xfId="0" applyNumberFormat="1" applyFont="1" applyFill="1" applyBorder="1" applyAlignment="1"/>
    <xf numFmtId="9" fontId="7" fillId="12" borderId="23" xfId="1" applyNumberFormat="1" applyFont="1" applyFill="1" applyBorder="1" applyAlignment="1"/>
    <xf numFmtId="49" fontId="3" fillId="2" borderId="71" xfId="0" applyNumberFormat="1" applyFont="1" applyFill="1" applyBorder="1" applyAlignment="1">
      <alignment horizontal="left" indent="1"/>
    </xf>
    <xf numFmtId="9" fontId="4" fillId="37" borderId="23" xfId="1" applyFont="1" applyFill="1" applyBorder="1" applyAlignment="1"/>
    <xf numFmtId="9" fontId="4" fillId="36" borderId="23" xfId="1" applyFont="1" applyFill="1" applyBorder="1" applyAlignment="1"/>
    <xf numFmtId="0" fontId="4" fillId="26" borderId="8" xfId="0" applyFont="1" applyFill="1" applyBorder="1" applyAlignment="1">
      <alignment horizontal="left"/>
    </xf>
    <xf numFmtId="41" fontId="4" fillId="27" borderId="68" xfId="0" applyNumberFormat="1" applyFont="1" applyFill="1" applyBorder="1" applyAlignment="1"/>
    <xf numFmtId="41" fontId="7" fillId="27" borderId="68" xfId="0" applyNumberFormat="1" applyFont="1" applyFill="1" applyBorder="1" applyAlignment="1"/>
    <xf numFmtId="41" fontId="4" fillId="27" borderId="41" xfId="0" applyNumberFormat="1" applyFont="1" applyFill="1" applyBorder="1" applyAlignment="1"/>
    <xf numFmtId="41" fontId="4" fillId="27" borderId="67" xfId="0" applyNumberFormat="1" applyFont="1" applyFill="1" applyBorder="1" applyAlignment="1"/>
    <xf numFmtId="41" fontId="4" fillId="27" borderId="69" xfId="0" applyNumberFormat="1" applyFont="1" applyFill="1" applyBorder="1" applyAlignment="1"/>
    <xf numFmtId="165" fontId="4" fillId="26" borderId="68" xfId="2" applyNumberFormat="1" applyFont="1" applyFill="1" applyBorder="1" applyAlignment="1"/>
    <xf numFmtId="9" fontId="4" fillId="26" borderId="68" xfId="1" applyFont="1" applyFill="1" applyBorder="1" applyAlignment="1"/>
    <xf numFmtId="41" fontId="4" fillId="12" borderId="59" xfId="0" applyNumberFormat="1" applyFont="1" applyFill="1" applyBorder="1" applyAlignment="1"/>
    <xf numFmtId="41" fontId="4" fillId="12" borderId="9" xfId="0" applyNumberFormat="1" applyFont="1" applyFill="1" applyBorder="1" applyAlignment="1"/>
    <xf numFmtId="41" fontId="4" fillId="12" borderId="23" xfId="0" applyNumberFormat="1" applyFont="1" applyFill="1" applyBorder="1" applyAlignment="1"/>
    <xf numFmtId="0" fontId="13" fillId="0" borderId="2" xfId="5" applyFont="1" applyBorder="1" applyAlignment="1">
      <alignment horizontal="left" indent="1"/>
    </xf>
    <xf numFmtId="0" fontId="3" fillId="3" borderId="8" xfId="0" applyFont="1" applyFill="1" applyBorder="1" applyAlignment="1">
      <alignment horizontal="left" indent="1"/>
    </xf>
    <xf numFmtId="41" fontId="3" fillId="3" borderId="23" xfId="0" applyNumberFormat="1" applyFont="1" applyFill="1" applyBorder="1" applyAlignment="1"/>
    <xf numFmtId="0" fontId="3" fillId="3" borderId="23" xfId="0" applyFont="1" applyFill="1" applyBorder="1" applyAlignment="1"/>
    <xf numFmtId="41" fontId="3" fillId="12" borderId="59" xfId="0" applyNumberFormat="1" applyFont="1" applyFill="1" applyBorder="1" applyAlignment="1"/>
    <xf numFmtId="41" fontId="3" fillId="12" borderId="9" xfId="0" applyNumberFormat="1" applyFont="1" applyFill="1" applyBorder="1" applyAlignment="1"/>
    <xf numFmtId="41" fontId="3" fillId="12" borderId="23" xfId="0" applyNumberFormat="1" applyFont="1" applyFill="1" applyBorder="1" applyAlignment="1"/>
    <xf numFmtId="41" fontId="4" fillId="4" borderId="23" xfId="0" applyNumberFormat="1" applyFont="1" applyFill="1" applyBorder="1" applyAlignment="1"/>
    <xf numFmtId="41" fontId="3" fillId="3" borderId="25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left" indent="1"/>
    </xf>
    <xf numFmtId="49" fontId="3" fillId="2" borderId="71" xfId="0" applyNumberFormat="1" applyFont="1" applyFill="1" applyBorder="1" applyAlignment="1" applyProtection="1">
      <alignment horizontal="left" indent="1"/>
      <protection locked="0"/>
    </xf>
    <xf numFmtId="49" fontId="3" fillId="2" borderId="73" xfId="0" applyNumberFormat="1" applyFont="1" applyFill="1" applyBorder="1" applyAlignment="1" applyProtection="1">
      <alignment horizontal="left" indent="1"/>
      <protection locked="0"/>
    </xf>
    <xf numFmtId="0" fontId="6" fillId="0" borderId="0" xfId="0" applyFont="1"/>
    <xf numFmtId="41" fontId="4" fillId="46" borderId="58" xfId="0" applyNumberFormat="1" applyFont="1" applyFill="1" applyBorder="1" applyAlignment="1"/>
    <xf numFmtId="41" fontId="4" fillId="47" borderId="60" xfId="0" applyNumberFormat="1" applyFont="1" applyFill="1" applyBorder="1" applyAlignment="1"/>
    <xf numFmtId="41" fontId="3" fillId="48" borderId="6" xfId="0" applyNumberFormat="1" applyFont="1" applyFill="1" applyBorder="1" applyAlignment="1">
      <alignment horizontal="left"/>
    </xf>
    <xf numFmtId="41" fontId="3" fillId="48" borderId="11" xfId="0" applyNumberFormat="1" applyFont="1" applyFill="1" applyBorder="1" applyAlignment="1">
      <alignment horizontal="left"/>
    </xf>
    <xf numFmtId="41" fontId="3" fillId="49" borderId="6" xfId="0" applyNumberFormat="1" applyFont="1" applyFill="1" applyBorder="1" applyAlignment="1"/>
    <xf numFmtId="41" fontId="3" fillId="49" borderId="74" xfId="0" applyNumberFormat="1" applyFont="1" applyFill="1" applyBorder="1" applyAlignment="1"/>
    <xf numFmtId="41" fontId="3" fillId="49" borderId="11" xfId="0" applyNumberFormat="1" applyFont="1" applyFill="1" applyBorder="1" applyAlignment="1"/>
    <xf numFmtId="41" fontId="4" fillId="50" borderId="11" xfId="0" applyNumberFormat="1" applyFont="1" applyFill="1" applyBorder="1" applyAlignment="1"/>
    <xf numFmtId="41" fontId="3" fillId="49" borderId="4" xfId="0" applyNumberFormat="1" applyFont="1" applyFill="1" applyBorder="1" applyAlignment="1"/>
    <xf numFmtId="41" fontId="4" fillId="50" borderId="4" xfId="0" applyNumberFormat="1" applyFont="1" applyFill="1" applyBorder="1" applyAlignment="1"/>
    <xf numFmtId="41" fontId="3" fillId="49" borderId="5" xfId="0" applyNumberFormat="1" applyFont="1" applyFill="1" applyBorder="1" applyAlignment="1"/>
    <xf numFmtId="41" fontId="3" fillId="1" borderId="11" xfId="0" applyNumberFormat="1" applyFont="1" applyFill="1" applyBorder="1" applyAlignment="1"/>
    <xf numFmtId="41" fontId="3" fillId="48" borderId="4" xfId="0" applyNumberFormat="1" applyFont="1" applyFill="1" applyBorder="1" applyAlignment="1"/>
    <xf numFmtId="41" fontId="4" fillId="51" borderId="4" xfId="0" applyNumberFormat="1" applyFont="1" applyFill="1" applyBorder="1" applyAlignment="1"/>
    <xf numFmtId="41" fontId="4" fillId="52" borderId="62" xfId="0" applyNumberFormat="1" applyFont="1" applyFill="1" applyBorder="1" applyAlignment="1">
      <alignment horizontal="right"/>
    </xf>
    <xf numFmtId="41" fontId="3" fillId="12" borderId="4" xfId="0" applyNumberFormat="1" applyFont="1" applyFill="1" applyBorder="1" applyAlignment="1"/>
    <xf numFmtId="0" fontId="49" fillId="0" borderId="0" xfId="7" applyFont="1" applyFill="1" applyAlignment="1"/>
    <xf numFmtId="0" fontId="23" fillId="0" borderId="0" xfId="8" applyFill="1" applyAlignment="1"/>
    <xf numFmtId="9" fontId="20" fillId="44" borderId="0" xfId="7" applyNumberFormat="1" applyAlignment="1"/>
    <xf numFmtId="0" fontId="2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16" borderId="29" xfId="0" applyFont="1" applyFill="1" applyBorder="1" applyAlignment="1">
      <alignment horizontal="left"/>
    </xf>
    <xf numFmtId="0" fontId="4" fillId="16" borderId="27" xfId="0" applyFont="1" applyFill="1" applyBorder="1" applyAlignment="1">
      <alignment horizontal="left"/>
    </xf>
    <xf numFmtId="0" fontId="4" fillId="16" borderId="28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26" fillId="7" borderId="4" xfId="0" applyFont="1" applyFill="1" applyBorder="1" applyAlignment="1">
      <alignment horizontal="center" wrapText="1"/>
    </xf>
    <xf numFmtId="0" fontId="26" fillId="7" borderId="23" xfId="0" applyFont="1" applyFill="1" applyBorder="1" applyAlignment="1">
      <alignment horizontal="center" wrapText="1"/>
    </xf>
    <xf numFmtId="0" fontId="26" fillId="41" borderId="4" xfId="0" applyFont="1" applyFill="1" applyBorder="1" applyAlignment="1">
      <alignment horizontal="center" wrapText="1"/>
    </xf>
    <xf numFmtId="0" fontId="26" fillId="41" borderId="23" xfId="0" applyFont="1" applyFill="1" applyBorder="1" applyAlignment="1">
      <alignment horizontal="center" wrapText="1"/>
    </xf>
    <xf numFmtId="0" fontId="26" fillId="39" borderId="4" xfId="0" applyFont="1" applyFill="1" applyBorder="1" applyAlignment="1">
      <alignment horizontal="center" wrapText="1"/>
    </xf>
    <xf numFmtId="0" fontId="26" fillId="39" borderId="23" xfId="0" applyFont="1" applyFill="1" applyBorder="1" applyAlignment="1">
      <alignment horizontal="center" wrapText="1"/>
    </xf>
    <xf numFmtId="0" fontId="24" fillId="2" borderId="0" xfId="0" applyFont="1" applyFill="1" applyAlignment="1">
      <alignment horizontal="left"/>
    </xf>
    <xf numFmtId="0" fontId="1" fillId="2" borderId="70" xfId="0" applyFont="1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wrapText="1"/>
    </xf>
    <xf numFmtId="0" fontId="1" fillId="3" borderId="29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72" xfId="0" applyFont="1" applyFill="1" applyBorder="1" applyAlignment="1">
      <alignment horizontal="center" wrapText="1"/>
    </xf>
    <xf numFmtId="0" fontId="25" fillId="7" borderId="4" xfId="0" applyFont="1" applyFill="1" applyBorder="1" applyAlignment="1">
      <alignment horizontal="center" wrapText="1"/>
    </xf>
    <xf numFmtId="0" fontId="25" fillId="7" borderId="23" xfId="0" applyFont="1" applyFill="1" applyBorder="1" applyAlignment="1">
      <alignment horizontal="center" wrapText="1"/>
    </xf>
    <xf numFmtId="0" fontId="25" fillId="41" borderId="4" xfId="0" applyFont="1" applyFill="1" applyBorder="1" applyAlignment="1">
      <alignment horizontal="center" wrapText="1"/>
    </xf>
    <xf numFmtId="0" fontId="25" fillId="41" borderId="23" xfId="0" applyFont="1" applyFill="1" applyBorder="1" applyAlignment="1">
      <alignment horizontal="center" wrapText="1"/>
    </xf>
    <xf numFmtId="0" fontId="48" fillId="39" borderId="4" xfId="0" applyFont="1" applyFill="1" applyBorder="1" applyAlignment="1">
      <alignment horizontal="center" wrapText="1"/>
    </xf>
    <xf numFmtId="0" fontId="48" fillId="39" borderId="23" xfId="0" applyFont="1" applyFill="1" applyBorder="1" applyAlignment="1">
      <alignment horizontal="center" wrapText="1"/>
    </xf>
    <xf numFmtId="0" fontId="26" fillId="7" borderId="68" xfId="0" applyFont="1" applyFill="1" applyBorder="1" applyAlignment="1">
      <alignment horizontal="center" wrapText="1"/>
    </xf>
    <xf numFmtId="0" fontId="26" fillId="41" borderId="68" xfId="0" applyFont="1" applyFill="1" applyBorder="1" applyAlignment="1">
      <alignment horizontal="center" wrapText="1"/>
    </xf>
    <xf numFmtId="0" fontId="26" fillId="39" borderId="68" xfId="0" applyFont="1" applyFill="1" applyBorder="1" applyAlignment="1">
      <alignment horizontal="center" wrapText="1"/>
    </xf>
  </cellXfs>
  <cellStyles count="9">
    <cellStyle name="Bad" xfId="7" builtinId="27"/>
    <cellStyle name="Comma" xfId="2" builtinId="3"/>
    <cellStyle name="Good" xfId="6" builtinId="26"/>
    <cellStyle name="Neutral" xfId="8" builtinId="28"/>
    <cellStyle name="Normal" xfId="0" builtinId="0"/>
    <cellStyle name="Normal 2" xfId="3" xr:uid="{00000000-0005-0000-0000-000002000000}"/>
    <cellStyle name="Normal 3" xfId="5" xr:uid="{00000000-0005-0000-0000-000003000000}"/>
    <cellStyle name="Percent" xfId="1" builtinId="5"/>
    <cellStyle name="Percent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150"/>
  <sheetViews>
    <sheetView showGridLines="0" tabSelected="1" zoomScaleNormal="100" workbookViewId="0">
      <selection activeCell="AI150" sqref="AI150"/>
    </sheetView>
  </sheetViews>
  <sheetFormatPr defaultColWidth="10.6640625" defaultRowHeight="11.25" x14ac:dyDescent="0.2"/>
  <cols>
    <col min="1" max="1" width="45.83203125" style="360" customWidth="1"/>
    <col min="2" max="9" width="7.5" style="360" hidden="1" customWidth="1"/>
    <col min="10" max="10" width="7.5" style="456" hidden="1" customWidth="1"/>
    <col min="11" max="11" width="7.5" style="457" hidden="1" customWidth="1"/>
    <col min="12" max="15" width="7.5" style="456" hidden="1" customWidth="1"/>
    <col min="16" max="16" width="7.5" style="99" hidden="1" customWidth="1"/>
    <col min="17" max="17" width="7.5" style="458" hidden="1" customWidth="1"/>
    <col min="18" max="18" width="7.33203125" style="458" hidden="1" customWidth="1"/>
    <col min="19" max="19" width="8.33203125" style="459" hidden="1" customWidth="1"/>
    <col min="20" max="20" width="8.33203125" style="458" hidden="1" customWidth="1"/>
    <col min="21" max="21" width="8.1640625" style="458" customWidth="1"/>
    <col min="22" max="24" width="8.1640625" style="458" hidden="1" customWidth="1"/>
    <col min="25" max="25" width="2.5" style="458" hidden="1" customWidth="1"/>
    <col min="26" max="31" width="8.1640625" style="458" customWidth="1"/>
    <col min="32" max="32" width="8.83203125" style="458" customWidth="1"/>
    <col min="33" max="34" width="8.83203125" style="360" customWidth="1"/>
    <col min="35" max="35" width="9.6640625" style="360" customWidth="1"/>
    <col min="36" max="42" width="10.6640625" style="360"/>
    <col min="43" max="43" width="10.83203125" style="360" customWidth="1"/>
    <col min="44" max="16384" width="10.6640625" style="382"/>
  </cols>
  <sheetData>
    <row r="1" spans="1:35" ht="15" x14ac:dyDescent="0.25">
      <c r="A1" s="607" t="s">
        <v>176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</row>
    <row r="2" spans="1:35" x14ac:dyDescent="0.2">
      <c r="A2" s="383"/>
      <c r="B2" s="384"/>
      <c r="C2" s="384"/>
      <c r="D2" s="384"/>
      <c r="E2" s="384"/>
      <c r="F2" s="384"/>
      <c r="G2" s="384"/>
      <c r="H2" s="384"/>
      <c r="I2" s="384"/>
      <c r="J2" s="385"/>
      <c r="K2" s="385"/>
      <c r="L2" s="386"/>
      <c r="M2" s="386"/>
      <c r="N2" s="386"/>
      <c r="O2" s="385"/>
      <c r="P2" s="387"/>
      <c r="Q2" s="385"/>
      <c r="R2" s="385"/>
      <c r="S2" s="388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4"/>
      <c r="AH2" s="384"/>
      <c r="AI2" s="384"/>
    </row>
    <row r="3" spans="1:35" ht="12" customHeight="1" x14ac:dyDescent="0.2">
      <c r="A3" s="608" t="s">
        <v>129</v>
      </c>
      <c r="B3" s="389"/>
      <c r="C3" s="390"/>
      <c r="D3" s="390"/>
      <c r="E3" s="389"/>
      <c r="F3" s="389"/>
      <c r="G3" s="390"/>
      <c r="H3" s="391"/>
      <c r="I3" s="391"/>
      <c r="J3" s="390"/>
      <c r="K3" s="392"/>
      <c r="L3" s="392"/>
      <c r="M3" s="392"/>
      <c r="N3" s="391"/>
      <c r="O3" s="393"/>
      <c r="P3" s="394"/>
      <c r="Q3" s="395"/>
      <c r="R3" s="395"/>
      <c r="S3" s="396"/>
      <c r="T3" s="395"/>
      <c r="U3" s="498" t="s">
        <v>128</v>
      </c>
      <c r="V3" s="499" t="s">
        <v>128</v>
      </c>
      <c r="W3" s="500" t="s">
        <v>128</v>
      </c>
      <c r="X3" s="501" t="s">
        <v>128</v>
      </c>
      <c r="Y3" s="501" t="s">
        <v>128</v>
      </c>
      <c r="Z3" s="500" t="s">
        <v>128</v>
      </c>
      <c r="AA3" s="500" t="s">
        <v>128</v>
      </c>
      <c r="AB3" s="500" t="s">
        <v>128</v>
      </c>
      <c r="AC3" s="500" t="s">
        <v>128</v>
      </c>
      <c r="AD3" s="500" t="s">
        <v>128</v>
      </c>
      <c r="AE3" s="502" t="s">
        <v>128</v>
      </c>
      <c r="AF3" s="619" t="s">
        <v>182</v>
      </c>
      <c r="AG3" s="621" t="s">
        <v>136</v>
      </c>
      <c r="AH3" s="619" t="s">
        <v>137</v>
      </c>
      <c r="AI3" s="623" t="s">
        <v>177</v>
      </c>
    </row>
    <row r="4" spans="1:35" ht="12" x14ac:dyDescent="0.2">
      <c r="A4" s="609"/>
      <c r="B4" s="59" t="s">
        <v>84</v>
      </c>
      <c r="C4" s="60" t="s">
        <v>34</v>
      </c>
      <c r="D4" s="59" t="s">
        <v>40</v>
      </c>
      <c r="E4" s="60" t="s">
        <v>41</v>
      </c>
      <c r="F4" s="60" t="s">
        <v>42</v>
      </c>
      <c r="G4" s="59" t="s">
        <v>43</v>
      </c>
      <c r="H4" s="61" t="s">
        <v>44</v>
      </c>
      <c r="I4" s="62" t="s">
        <v>36</v>
      </c>
      <c r="J4" s="63" t="s">
        <v>37</v>
      </c>
      <c r="K4" s="63" t="s">
        <v>38</v>
      </c>
      <c r="L4" s="63" t="s">
        <v>39</v>
      </c>
      <c r="M4" s="63" t="s">
        <v>35</v>
      </c>
      <c r="N4" s="62" t="s">
        <v>45</v>
      </c>
      <c r="O4" s="264" t="s">
        <v>46</v>
      </c>
      <c r="P4" s="264" t="s">
        <v>49</v>
      </c>
      <c r="Q4" s="317" t="s">
        <v>52</v>
      </c>
      <c r="R4" s="317" t="s">
        <v>55</v>
      </c>
      <c r="S4" s="358" t="s">
        <v>56</v>
      </c>
      <c r="T4" s="368" t="s">
        <v>59</v>
      </c>
      <c r="U4" s="368" t="s">
        <v>60</v>
      </c>
      <c r="V4" s="348" t="s">
        <v>61</v>
      </c>
      <c r="W4" s="6" t="s">
        <v>62</v>
      </c>
      <c r="X4" s="64" t="s">
        <v>64</v>
      </c>
      <c r="Y4" s="64" t="s">
        <v>66</v>
      </c>
      <c r="Z4" s="6" t="s">
        <v>100</v>
      </c>
      <c r="AA4" s="6" t="s">
        <v>104</v>
      </c>
      <c r="AB4" s="6" t="s">
        <v>105</v>
      </c>
      <c r="AC4" s="6" t="s">
        <v>108</v>
      </c>
      <c r="AD4" s="6" t="s">
        <v>116</v>
      </c>
      <c r="AE4" s="65" t="s">
        <v>121</v>
      </c>
      <c r="AF4" s="620"/>
      <c r="AG4" s="622"/>
      <c r="AH4" s="620"/>
      <c r="AI4" s="624"/>
    </row>
    <row r="5" spans="1:35" ht="12" x14ac:dyDescent="0.2">
      <c r="A5" s="613" t="s">
        <v>68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  <c r="AC5" s="614"/>
      <c r="AD5" s="614"/>
      <c r="AE5" s="614"/>
      <c r="AF5" s="614"/>
      <c r="AG5" s="614"/>
      <c r="AH5" s="614"/>
      <c r="AI5" s="615"/>
    </row>
    <row r="6" spans="1:35" ht="12" x14ac:dyDescent="0.2">
      <c r="A6" s="610" t="s">
        <v>69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1"/>
      <c r="AG6" s="611"/>
      <c r="AH6" s="611"/>
      <c r="AI6" s="612"/>
    </row>
    <row r="7" spans="1:35" ht="12" x14ac:dyDescent="0.2">
      <c r="A7" s="616" t="s">
        <v>70</v>
      </c>
      <c r="B7" s="617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  <c r="AC7" s="617"/>
      <c r="AD7" s="617"/>
      <c r="AE7" s="617"/>
      <c r="AF7" s="617"/>
      <c r="AG7" s="617"/>
      <c r="AH7" s="617"/>
      <c r="AI7" s="618"/>
    </row>
    <row r="8" spans="1:35" ht="12" x14ac:dyDescent="0.2">
      <c r="A8" s="400" t="s">
        <v>139</v>
      </c>
      <c r="B8" s="100"/>
      <c r="C8" s="100"/>
      <c r="D8" s="100"/>
      <c r="E8" s="100"/>
      <c r="F8" s="100"/>
      <c r="G8" s="100"/>
      <c r="H8" s="93"/>
      <c r="I8" s="93">
        <v>8</v>
      </c>
      <c r="J8" s="100">
        <v>9</v>
      </c>
      <c r="K8" s="100">
        <v>3</v>
      </c>
      <c r="L8" s="100">
        <v>7</v>
      </c>
      <c r="M8" s="100">
        <v>9</v>
      </c>
      <c r="N8" s="93">
        <v>11</v>
      </c>
      <c r="O8" s="265">
        <v>6</v>
      </c>
      <c r="P8" s="265">
        <v>10</v>
      </c>
      <c r="Q8" s="324">
        <v>10</v>
      </c>
      <c r="R8" s="324">
        <v>9</v>
      </c>
      <c r="S8" s="351">
        <v>6</v>
      </c>
      <c r="T8" s="324">
        <v>7</v>
      </c>
      <c r="U8" s="324">
        <v>6</v>
      </c>
      <c r="V8" s="280">
        <v>11</v>
      </c>
      <c r="W8" s="92">
        <v>10</v>
      </c>
      <c r="X8" s="93">
        <v>7</v>
      </c>
      <c r="Y8" s="93">
        <v>0</v>
      </c>
      <c r="Z8" s="596"/>
      <c r="AA8" s="596"/>
      <c r="AB8" s="596"/>
      <c r="AC8" s="596"/>
      <c r="AD8" s="596"/>
      <c r="AE8" s="597"/>
      <c r="AF8" s="345" t="str">
        <f>IF(AE8=0," ",IF(AI8&gt;20,(AE8-AD8)/AD8," "))</f>
        <v xml:space="preserve"> </v>
      </c>
      <c r="AG8" s="346" t="str">
        <f>IF(AE8=0," ",IF(AI8&gt;20,(AE8-Z8)/Z8," "))</f>
        <v xml:space="preserve"> </v>
      </c>
      <c r="AH8" s="347" t="str">
        <f>IF(AE8=0," ",(IF(AI8&gt;20,(AE8-U8)/U8," ")))</f>
        <v xml:space="preserve"> </v>
      </c>
      <c r="AI8" s="247" t="str">
        <f>IF(AC8&gt;0,AVERAGE(AC8:AE8),"  ")</f>
        <v xml:space="preserve">  </v>
      </c>
    </row>
    <row r="9" spans="1:35" ht="12" x14ac:dyDescent="0.2">
      <c r="A9" s="401" t="s">
        <v>11</v>
      </c>
      <c r="B9" s="73"/>
      <c r="C9" s="73"/>
      <c r="D9" s="73"/>
      <c r="E9" s="73"/>
      <c r="F9" s="73"/>
      <c r="G9" s="73"/>
      <c r="H9" s="5"/>
      <c r="I9" s="5"/>
      <c r="J9" s="73">
        <v>19</v>
      </c>
      <c r="K9" s="73">
        <v>18</v>
      </c>
      <c r="L9" s="73">
        <v>33</v>
      </c>
      <c r="M9" s="73">
        <v>43</v>
      </c>
      <c r="N9" s="5">
        <v>45</v>
      </c>
      <c r="O9" s="266">
        <v>68</v>
      </c>
      <c r="P9" s="266">
        <v>49</v>
      </c>
      <c r="Q9" s="318">
        <v>81</v>
      </c>
      <c r="R9" s="318">
        <v>90</v>
      </c>
      <c r="S9" s="352">
        <v>102</v>
      </c>
      <c r="T9" s="318">
        <v>110</v>
      </c>
      <c r="U9" s="318">
        <f>143+1</f>
        <v>144</v>
      </c>
      <c r="V9" s="276">
        <v>139</v>
      </c>
      <c r="W9" s="74">
        <v>128</v>
      </c>
      <c r="X9" s="5">
        <v>171</v>
      </c>
      <c r="Y9" s="5">
        <v>147</v>
      </c>
      <c r="Z9" s="74">
        <v>126</v>
      </c>
      <c r="AA9" s="74">
        <v>134</v>
      </c>
      <c r="AB9" s="74">
        <v>111</v>
      </c>
      <c r="AC9" s="74">
        <v>145</v>
      </c>
      <c r="AD9" s="74">
        <v>114</v>
      </c>
      <c r="AE9" s="75">
        <v>93</v>
      </c>
      <c r="AF9" s="229">
        <f>IF(AE9=0," ",IF(AI9&gt;20,(AE9-AD9)/AD9," "))</f>
        <v>-0.18421052631578946</v>
      </c>
      <c r="AG9" s="230">
        <f>IF(AE9=0," ",IF(AI9&gt;20,(AE9-Z9)/Z9," "))</f>
        <v>-0.26190476190476192</v>
      </c>
      <c r="AH9" s="231">
        <f>IF(AE9=0," ",(IF(AI9&gt;20,(AE9-U9)/U9," ")))</f>
        <v>-0.35416666666666669</v>
      </c>
      <c r="AI9" s="125">
        <f t="shared" ref="AI9:AI16" si="0">IF(AC9&gt;0,AVERAGE(AC9:AE9),"  ")</f>
        <v>117.33333333333333</v>
      </c>
    </row>
    <row r="10" spans="1:35" ht="12" x14ac:dyDescent="0.2">
      <c r="A10" s="401" t="s">
        <v>141</v>
      </c>
      <c r="B10" s="73"/>
      <c r="C10" s="73"/>
      <c r="D10" s="73"/>
      <c r="E10" s="73"/>
      <c r="F10" s="73"/>
      <c r="G10" s="73"/>
      <c r="H10" s="5"/>
      <c r="I10" s="5"/>
      <c r="J10" s="73"/>
      <c r="K10" s="73"/>
      <c r="L10" s="73"/>
      <c r="M10" s="73"/>
      <c r="N10" s="5"/>
      <c r="O10" s="266"/>
      <c r="P10" s="266"/>
      <c r="Q10" s="318"/>
      <c r="R10" s="318"/>
      <c r="S10" s="352"/>
      <c r="T10" s="318"/>
      <c r="U10" s="592"/>
      <c r="V10" s="598"/>
      <c r="W10" s="594"/>
      <c r="X10" s="599"/>
      <c r="Y10" s="599"/>
      <c r="Z10" s="594"/>
      <c r="AA10" s="594"/>
      <c r="AB10" s="594"/>
      <c r="AC10" s="594"/>
      <c r="AD10" s="594"/>
      <c r="AE10" s="75">
        <v>15</v>
      </c>
      <c r="AF10" s="229"/>
      <c r="AG10" s="230"/>
      <c r="AH10" s="231"/>
      <c r="AI10" s="125"/>
    </row>
    <row r="11" spans="1:35" ht="12" x14ac:dyDescent="0.2">
      <c r="A11" s="402" t="s">
        <v>65</v>
      </c>
      <c r="B11" s="77">
        <v>11</v>
      </c>
      <c r="C11" s="77">
        <v>15</v>
      </c>
      <c r="D11" s="77">
        <v>6</v>
      </c>
      <c r="E11" s="77">
        <v>9</v>
      </c>
      <c r="F11" s="77">
        <v>11</v>
      </c>
      <c r="G11" s="77">
        <v>9</v>
      </c>
      <c r="H11" s="7">
        <v>5</v>
      </c>
      <c r="I11" s="7">
        <v>10</v>
      </c>
      <c r="J11" s="77">
        <v>7</v>
      </c>
      <c r="K11" s="77">
        <v>7</v>
      </c>
      <c r="L11" s="77">
        <v>8</v>
      </c>
      <c r="M11" s="77">
        <v>6</v>
      </c>
      <c r="N11" s="7">
        <v>9</v>
      </c>
      <c r="O11" s="267">
        <v>9</v>
      </c>
      <c r="P11" s="267">
        <v>12</v>
      </c>
      <c r="Q11" s="319">
        <v>10</v>
      </c>
      <c r="R11" s="319">
        <v>10</v>
      </c>
      <c r="S11" s="353">
        <v>12</v>
      </c>
      <c r="T11" s="319">
        <v>15</v>
      </c>
      <c r="U11" s="319">
        <v>9</v>
      </c>
      <c r="V11" s="277">
        <v>12</v>
      </c>
      <c r="W11" s="78">
        <v>15</v>
      </c>
      <c r="X11" s="7">
        <v>11</v>
      </c>
      <c r="Y11" s="7">
        <v>15</v>
      </c>
      <c r="Z11" s="78">
        <v>13</v>
      </c>
      <c r="AA11" s="78">
        <v>16</v>
      </c>
      <c r="AB11" s="78">
        <v>14</v>
      </c>
      <c r="AC11" s="78">
        <v>11</v>
      </c>
      <c r="AD11" s="78">
        <v>13</v>
      </c>
      <c r="AE11" s="79">
        <v>9</v>
      </c>
      <c r="AF11" s="232" t="str">
        <f t="shared" ref="AF11:AF16" si="1">IF(AE11=0," ",IF(AI11&gt;20,(AE11-AD11)/AD11," "))</f>
        <v xml:space="preserve"> </v>
      </c>
      <c r="AG11" s="233" t="str">
        <f t="shared" ref="AG11:AG17" si="2">IF(AE11=0," ",IF(AI11&gt;20,(AE11-Z11)/Z11," "))</f>
        <v xml:space="preserve"> </v>
      </c>
      <c r="AH11" s="234" t="str">
        <f t="shared" ref="AH11:AH17" si="3">IF(AE11=0," ",(IF(AI11&gt;20,(AE11-U11)/U11," ")))</f>
        <v xml:space="preserve"> </v>
      </c>
      <c r="AI11" s="246">
        <f t="shared" si="0"/>
        <v>11</v>
      </c>
    </row>
    <row r="12" spans="1:35" ht="12" x14ac:dyDescent="0.2">
      <c r="A12" s="401" t="s">
        <v>140</v>
      </c>
      <c r="B12" s="73"/>
      <c r="C12" s="73"/>
      <c r="D12" s="73"/>
      <c r="E12" s="73"/>
      <c r="F12" s="73"/>
      <c r="G12" s="73"/>
      <c r="H12" s="5"/>
      <c r="I12" s="5"/>
      <c r="J12" s="73"/>
      <c r="K12" s="73"/>
      <c r="L12" s="73"/>
      <c r="M12" s="73">
        <v>0</v>
      </c>
      <c r="N12" s="5"/>
      <c r="O12" s="266"/>
      <c r="P12" s="266"/>
      <c r="Q12" s="318"/>
      <c r="R12" s="318">
        <v>0</v>
      </c>
      <c r="S12" s="352">
        <v>0</v>
      </c>
      <c r="T12" s="318">
        <v>0</v>
      </c>
      <c r="U12" s="592"/>
      <c r="V12" s="276">
        <v>1</v>
      </c>
      <c r="W12" s="74">
        <v>15</v>
      </c>
      <c r="X12" s="5">
        <v>22</v>
      </c>
      <c r="Y12" s="5">
        <v>34</v>
      </c>
      <c r="Z12" s="74">
        <v>23</v>
      </c>
      <c r="AA12" s="74">
        <v>56</v>
      </c>
      <c r="AB12" s="74">
        <v>42</v>
      </c>
      <c r="AC12" s="74">
        <v>38</v>
      </c>
      <c r="AD12" s="74">
        <v>21</v>
      </c>
      <c r="AE12" s="75">
        <v>29</v>
      </c>
      <c r="AF12" s="229">
        <f t="shared" si="1"/>
        <v>0.38095238095238093</v>
      </c>
      <c r="AG12" s="230">
        <f t="shared" si="2"/>
        <v>0.2608695652173913</v>
      </c>
      <c r="AH12" s="231"/>
      <c r="AI12" s="125">
        <f t="shared" si="0"/>
        <v>29.333333333333332</v>
      </c>
    </row>
    <row r="13" spans="1:35" ht="12" x14ac:dyDescent="0.2">
      <c r="A13" s="402" t="s">
        <v>26</v>
      </c>
      <c r="B13" s="77">
        <v>14</v>
      </c>
      <c r="C13" s="77">
        <v>21</v>
      </c>
      <c r="D13" s="77">
        <v>19</v>
      </c>
      <c r="E13" s="77">
        <v>18</v>
      </c>
      <c r="F13" s="77">
        <v>17</v>
      </c>
      <c r="G13" s="77">
        <v>14</v>
      </c>
      <c r="H13" s="7">
        <v>7</v>
      </c>
      <c r="I13" s="7">
        <v>11</v>
      </c>
      <c r="J13" s="77">
        <v>7</v>
      </c>
      <c r="K13" s="77">
        <v>11</v>
      </c>
      <c r="L13" s="77">
        <v>10</v>
      </c>
      <c r="M13" s="77">
        <v>15</v>
      </c>
      <c r="N13" s="7">
        <v>24</v>
      </c>
      <c r="O13" s="267">
        <v>23</v>
      </c>
      <c r="P13" s="267">
        <v>27</v>
      </c>
      <c r="Q13" s="319">
        <v>23</v>
      </c>
      <c r="R13" s="319">
        <f>35+1</f>
        <v>36</v>
      </c>
      <c r="S13" s="353">
        <v>23</v>
      </c>
      <c r="T13" s="319">
        <v>31</v>
      </c>
      <c r="U13" s="319">
        <v>37</v>
      </c>
      <c r="V13" s="277">
        <v>37</v>
      </c>
      <c r="W13" s="78">
        <v>36</v>
      </c>
      <c r="X13" s="7">
        <v>29</v>
      </c>
      <c r="Y13" s="7">
        <v>27</v>
      </c>
      <c r="Z13" s="78">
        <v>20</v>
      </c>
      <c r="AA13" s="78">
        <v>22</v>
      </c>
      <c r="AB13" s="78">
        <v>23</v>
      </c>
      <c r="AC13" s="78">
        <v>30</v>
      </c>
      <c r="AD13" s="78">
        <v>30</v>
      </c>
      <c r="AE13" s="79">
        <v>20</v>
      </c>
      <c r="AF13" s="232">
        <f t="shared" si="1"/>
        <v>-0.33333333333333331</v>
      </c>
      <c r="AG13" s="233">
        <f t="shared" si="2"/>
        <v>0</v>
      </c>
      <c r="AH13" s="234">
        <f t="shared" si="3"/>
        <v>-0.45945945945945948</v>
      </c>
      <c r="AI13" s="246">
        <f t="shared" si="0"/>
        <v>26.666666666666668</v>
      </c>
    </row>
    <row r="14" spans="1:35" ht="12" x14ac:dyDescent="0.2">
      <c r="A14" s="403" t="s">
        <v>71</v>
      </c>
      <c r="B14" s="66">
        <f t="shared" ref="B14:AE14" si="4">SUM(B8:B13)</f>
        <v>25</v>
      </c>
      <c r="C14" s="66">
        <f t="shared" si="4"/>
        <v>36</v>
      </c>
      <c r="D14" s="66">
        <f t="shared" si="4"/>
        <v>25</v>
      </c>
      <c r="E14" s="66">
        <f t="shared" si="4"/>
        <v>27</v>
      </c>
      <c r="F14" s="66">
        <f t="shared" si="4"/>
        <v>28</v>
      </c>
      <c r="G14" s="66">
        <f t="shared" si="4"/>
        <v>23</v>
      </c>
      <c r="H14" s="66">
        <f t="shared" si="4"/>
        <v>12</v>
      </c>
      <c r="I14" s="66">
        <f t="shared" si="4"/>
        <v>29</v>
      </c>
      <c r="J14" s="66">
        <f t="shared" si="4"/>
        <v>42</v>
      </c>
      <c r="K14" s="66">
        <f t="shared" si="4"/>
        <v>39</v>
      </c>
      <c r="L14" s="66">
        <f t="shared" si="4"/>
        <v>58</v>
      </c>
      <c r="M14" s="66">
        <f t="shared" si="4"/>
        <v>73</v>
      </c>
      <c r="N14" s="66">
        <f t="shared" si="4"/>
        <v>89</v>
      </c>
      <c r="O14" s="268">
        <f t="shared" si="4"/>
        <v>106</v>
      </c>
      <c r="P14" s="268">
        <f t="shared" si="4"/>
        <v>98</v>
      </c>
      <c r="Q14" s="320">
        <f t="shared" si="4"/>
        <v>124</v>
      </c>
      <c r="R14" s="320">
        <f>SUM(R8:R13)</f>
        <v>145</v>
      </c>
      <c r="S14" s="320">
        <f t="shared" si="4"/>
        <v>143</v>
      </c>
      <c r="T14" s="320">
        <f t="shared" si="4"/>
        <v>163</v>
      </c>
      <c r="U14" s="320">
        <f t="shared" si="4"/>
        <v>196</v>
      </c>
      <c r="V14" s="180">
        <f t="shared" si="4"/>
        <v>200</v>
      </c>
      <c r="W14" s="66">
        <f t="shared" si="4"/>
        <v>204</v>
      </c>
      <c r="X14" s="66">
        <f t="shared" si="4"/>
        <v>240</v>
      </c>
      <c r="Y14" s="66">
        <f t="shared" si="4"/>
        <v>223</v>
      </c>
      <c r="Z14" s="66">
        <f t="shared" si="4"/>
        <v>182</v>
      </c>
      <c r="AA14" s="66">
        <f t="shared" si="4"/>
        <v>228</v>
      </c>
      <c r="AB14" s="66">
        <f t="shared" ref="AB14:AD14" si="5">SUM(AB8:AB13)</f>
        <v>190</v>
      </c>
      <c r="AC14" s="66">
        <f t="shared" si="5"/>
        <v>224</v>
      </c>
      <c r="AD14" s="66">
        <f t="shared" si="5"/>
        <v>178</v>
      </c>
      <c r="AE14" s="300">
        <f t="shared" si="4"/>
        <v>166</v>
      </c>
      <c r="AF14" s="240">
        <f t="shared" si="1"/>
        <v>-6.741573033707865E-2</v>
      </c>
      <c r="AG14" s="240">
        <f t="shared" si="2"/>
        <v>-8.7912087912087919E-2</v>
      </c>
      <c r="AH14" s="241">
        <f t="shared" si="3"/>
        <v>-0.15306122448979592</v>
      </c>
      <c r="AI14" s="124">
        <f t="shared" si="0"/>
        <v>189.33333333333334</v>
      </c>
    </row>
    <row r="15" spans="1:35" ht="12" x14ac:dyDescent="0.2">
      <c r="A15" s="404" t="s">
        <v>142</v>
      </c>
      <c r="B15" s="118">
        <v>61</v>
      </c>
      <c r="C15" s="118">
        <v>76</v>
      </c>
      <c r="D15" s="118">
        <v>55</v>
      </c>
      <c r="E15" s="118">
        <v>49</v>
      </c>
      <c r="F15" s="118">
        <v>48</v>
      </c>
      <c r="G15" s="118">
        <v>37</v>
      </c>
      <c r="H15" s="119">
        <v>55</v>
      </c>
      <c r="I15" s="119">
        <v>54</v>
      </c>
      <c r="J15" s="118">
        <v>56</v>
      </c>
      <c r="K15" s="118">
        <v>80</v>
      </c>
      <c r="L15" s="118">
        <v>78</v>
      </c>
      <c r="M15" s="118">
        <v>84</v>
      </c>
      <c r="N15" s="119">
        <v>68</v>
      </c>
      <c r="O15" s="269">
        <v>76</v>
      </c>
      <c r="P15" s="269">
        <v>83</v>
      </c>
      <c r="Q15" s="321">
        <v>70</v>
      </c>
      <c r="R15" s="321">
        <v>84</v>
      </c>
      <c r="S15" s="354">
        <v>87</v>
      </c>
      <c r="T15" s="321">
        <v>93</v>
      </c>
      <c r="U15" s="321">
        <v>86</v>
      </c>
      <c r="V15" s="278">
        <v>94</v>
      </c>
      <c r="W15" s="118">
        <v>90</v>
      </c>
      <c r="X15" s="119">
        <v>97</v>
      </c>
      <c r="Y15" s="119">
        <v>87</v>
      </c>
      <c r="Z15" s="118">
        <v>89</v>
      </c>
      <c r="AA15" s="118">
        <v>89</v>
      </c>
      <c r="AB15" s="118">
        <v>83</v>
      </c>
      <c r="AC15" s="118">
        <v>99</v>
      </c>
      <c r="AD15" s="118">
        <v>93</v>
      </c>
      <c r="AE15" s="81">
        <v>85</v>
      </c>
      <c r="AF15" s="242">
        <f t="shared" si="1"/>
        <v>-8.6021505376344093E-2</v>
      </c>
      <c r="AG15" s="242">
        <f t="shared" si="2"/>
        <v>-4.49438202247191E-2</v>
      </c>
      <c r="AH15" s="243">
        <f t="shared" si="3"/>
        <v>-1.1627906976744186E-2</v>
      </c>
      <c r="AI15" s="126">
        <f t="shared" si="0"/>
        <v>92.333333333333329</v>
      </c>
    </row>
    <row r="16" spans="1:35" ht="12" x14ac:dyDescent="0.2">
      <c r="A16" s="405" t="s">
        <v>143</v>
      </c>
      <c r="B16" s="120">
        <v>59</v>
      </c>
      <c r="C16" s="120">
        <v>62</v>
      </c>
      <c r="D16" s="120">
        <v>72</v>
      </c>
      <c r="E16" s="120">
        <v>74</v>
      </c>
      <c r="F16" s="120">
        <v>67</v>
      </c>
      <c r="G16" s="120">
        <v>54</v>
      </c>
      <c r="H16" s="121">
        <v>74</v>
      </c>
      <c r="I16" s="121">
        <v>46</v>
      </c>
      <c r="J16" s="120">
        <v>59</v>
      </c>
      <c r="K16" s="120">
        <v>55</v>
      </c>
      <c r="L16" s="120">
        <v>61</v>
      </c>
      <c r="M16" s="120">
        <v>59</v>
      </c>
      <c r="N16" s="121">
        <v>56</v>
      </c>
      <c r="O16" s="270">
        <v>63</v>
      </c>
      <c r="P16" s="270">
        <v>61</v>
      </c>
      <c r="Q16" s="322">
        <v>61</v>
      </c>
      <c r="R16" s="322">
        <v>74</v>
      </c>
      <c r="S16" s="355">
        <f>91+2</f>
        <v>93</v>
      </c>
      <c r="T16" s="322">
        <v>74</v>
      </c>
      <c r="U16" s="322">
        <v>91</v>
      </c>
      <c r="V16" s="279">
        <v>82</v>
      </c>
      <c r="W16" s="120">
        <v>133</v>
      </c>
      <c r="X16" s="121">
        <v>133</v>
      </c>
      <c r="Y16" s="121">
        <v>113</v>
      </c>
      <c r="Z16" s="120">
        <v>130</v>
      </c>
      <c r="AA16" s="120">
        <v>137</v>
      </c>
      <c r="AB16" s="120">
        <v>127</v>
      </c>
      <c r="AC16" s="120">
        <v>103</v>
      </c>
      <c r="AD16" s="120">
        <v>101</v>
      </c>
      <c r="AE16" s="82">
        <v>99</v>
      </c>
      <c r="AF16" s="240">
        <f t="shared" si="1"/>
        <v>-1.9801980198019802E-2</v>
      </c>
      <c r="AG16" s="240">
        <f t="shared" si="2"/>
        <v>-0.23846153846153847</v>
      </c>
      <c r="AH16" s="241">
        <f t="shared" si="3"/>
        <v>8.7912087912087919E-2</v>
      </c>
      <c r="AI16" s="124">
        <f t="shared" si="0"/>
        <v>101</v>
      </c>
    </row>
    <row r="17" spans="1:40" ht="12.75" thickBot="1" x14ac:dyDescent="0.25">
      <c r="A17" s="406" t="s">
        <v>73</v>
      </c>
      <c r="B17" s="127">
        <f t="shared" ref="B17:AE17" si="6">+B16+B15+B14</f>
        <v>145</v>
      </c>
      <c r="C17" s="127">
        <f t="shared" si="6"/>
        <v>174</v>
      </c>
      <c r="D17" s="127">
        <f t="shared" si="6"/>
        <v>152</v>
      </c>
      <c r="E17" s="127">
        <f t="shared" si="6"/>
        <v>150</v>
      </c>
      <c r="F17" s="127">
        <f t="shared" si="6"/>
        <v>143</v>
      </c>
      <c r="G17" s="127">
        <f t="shared" si="6"/>
        <v>114</v>
      </c>
      <c r="H17" s="127">
        <f t="shared" si="6"/>
        <v>141</v>
      </c>
      <c r="I17" s="127">
        <f t="shared" si="6"/>
        <v>129</v>
      </c>
      <c r="J17" s="127">
        <f t="shared" si="6"/>
        <v>157</v>
      </c>
      <c r="K17" s="127">
        <f t="shared" si="6"/>
        <v>174</v>
      </c>
      <c r="L17" s="127">
        <f t="shared" si="6"/>
        <v>197</v>
      </c>
      <c r="M17" s="127">
        <f t="shared" si="6"/>
        <v>216</v>
      </c>
      <c r="N17" s="127">
        <f t="shared" si="6"/>
        <v>213</v>
      </c>
      <c r="O17" s="271">
        <f t="shared" si="6"/>
        <v>245</v>
      </c>
      <c r="P17" s="271">
        <f t="shared" si="6"/>
        <v>242</v>
      </c>
      <c r="Q17" s="323">
        <f t="shared" si="6"/>
        <v>255</v>
      </c>
      <c r="R17" s="323">
        <f t="shared" si="6"/>
        <v>303</v>
      </c>
      <c r="S17" s="323">
        <f t="shared" si="6"/>
        <v>323</v>
      </c>
      <c r="T17" s="323">
        <f t="shared" si="6"/>
        <v>330</v>
      </c>
      <c r="U17" s="323">
        <f t="shared" si="6"/>
        <v>373</v>
      </c>
      <c r="V17" s="181">
        <f t="shared" si="6"/>
        <v>376</v>
      </c>
      <c r="W17" s="127">
        <f t="shared" si="6"/>
        <v>427</v>
      </c>
      <c r="X17" s="127">
        <f t="shared" si="6"/>
        <v>470</v>
      </c>
      <c r="Y17" s="127">
        <f t="shared" si="6"/>
        <v>423</v>
      </c>
      <c r="Z17" s="127">
        <f t="shared" si="6"/>
        <v>401</v>
      </c>
      <c r="AA17" s="127">
        <f t="shared" si="6"/>
        <v>454</v>
      </c>
      <c r="AB17" s="127">
        <f t="shared" si="6"/>
        <v>400</v>
      </c>
      <c r="AC17" s="127">
        <f t="shared" si="6"/>
        <v>426</v>
      </c>
      <c r="AD17" s="127">
        <f t="shared" si="6"/>
        <v>372</v>
      </c>
      <c r="AE17" s="127">
        <f t="shared" si="6"/>
        <v>350</v>
      </c>
      <c r="AF17" s="244">
        <f>IF(AE17=0," ",IF(AI17&gt;20,(AE17-AD17)/AD17," "))</f>
        <v>-5.9139784946236562E-2</v>
      </c>
      <c r="AG17" s="244">
        <f t="shared" si="2"/>
        <v>-0.12718204488778054</v>
      </c>
      <c r="AH17" s="244">
        <f t="shared" si="3"/>
        <v>-6.1662198391420911E-2</v>
      </c>
      <c r="AI17" s="196">
        <f>IF(AC17&gt;0,AVERAGE(AC17:AE17),"  ")</f>
        <v>382.66666666666669</v>
      </c>
    </row>
    <row r="18" spans="1:40" ht="13.5" thickTop="1" x14ac:dyDescent="0.2">
      <c r="A18" s="407" t="s">
        <v>74</v>
      </c>
      <c r="B18" s="67"/>
      <c r="C18" s="67"/>
      <c r="D18" s="67"/>
      <c r="E18" s="67"/>
      <c r="F18" s="68"/>
      <c r="G18" s="68"/>
      <c r="H18" s="68"/>
      <c r="I18" s="68"/>
      <c r="J18" s="67"/>
      <c r="K18" s="67"/>
      <c r="L18" s="67"/>
      <c r="M18" s="67"/>
      <c r="N18" s="69"/>
      <c r="O18" s="69"/>
      <c r="P18" s="69"/>
      <c r="Q18" s="69"/>
      <c r="R18" s="69"/>
      <c r="S18" s="70"/>
      <c r="T18" s="70"/>
      <c r="U18" s="70"/>
      <c r="V18" s="70"/>
      <c r="W18" s="70"/>
      <c r="X18" s="71"/>
      <c r="Y18" s="71"/>
      <c r="Z18" s="72"/>
      <c r="AA18" s="72"/>
      <c r="AB18" s="72"/>
      <c r="AC18" s="72"/>
      <c r="AD18" s="72"/>
      <c r="AE18" s="72"/>
      <c r="AF18" s="195"/>
      <c r="AG18" s="195"/>
      <c r="AH18" s="195"/>
      <c r="AI18" s="216"/>
    </row>
    <row r="19" spans="1:40" ht="12" x14ac:dyDescent="0.2">
      <c r="A19" s="555" t="s">
        <v>1</v>
      </c>
      <c r="B19" s="100">
        <v>27</v>
      </c>
      <c r="C19" s="100">
        <v>18</v>
      </c>
      <c r="D19" s="100">
        <v>28</v>
      </c>
      <c r="E19" s="100">
        <v>21</v>
      </c>
      <c r="F19" s="100">
        <v>17</v>
      </c>
      <c r="G19" s="100">
        <v>23</v>
      </c>
      <c r="H19" s="93">
        <v>27</v>
      </c>
      <c r="I19" s="93">
        <v>31</v>
      </c>
      <c r="J19" s="100">
        <v>37</v>
      </c>
      <c r="K19" s="100">
        <v>41</v>
      </c>
      <c r="L19" s="100">
        <v>27</v>
      </c>
      <c r="M19" s="100">
        <v>32</v>
      </c>
      <c r="N19" s="93">
        <v>18</v>
      </c>
      <c r="O19" s="265">
        <v>21</v>
      </c>
      <c r="P19" s="265">
        <v>16</v>
      </c>
      <c r="Q19" s="324">
        <v>10</v>
      </c>
      <c r="R19" s="324">
        <v>17</v>
      </c>
      <c r="S19" s="351">
        <v>17</v>
      </c>
      <c r="T19" s="324">
        <v>12</v>
      </c>
      <c r="U19" s="324">
        <v>7</v>
      </c>
      <c r="V19" s="280">
        <v>11</v>
      </c>
      <c r="W19" s="92">
        <v>6</v>
      </c>
      <c r="X19" s="93">
        <v>9</v>
      </c>
      <c r="Y19" s="93">
        <v>13</v>
      </c>
      <c r="Z19" s="92">
        <v>7</v>
      </c>
      <c r="AA19" s="92">
        <v>2</v>
      </c>
      <c r="AB19" s="92">
        <v>6</v>
      </c>
      <c r="AC19" s="92">
        <v>5</v>
      </c>
      <c r="AD19" s="92">
        <v>4</v>
      </c>
      <c r="AE19" s="101">
        <v>2</v>
      </c>
      <c r="AF19" s="345" t="str">
        <f t="shared" ref="AF19:AF38" si="7">IF(AE19=0," ",IF(AI19&gt;20,(AE19-AD19)/AD19," "))</f>
        <v xml:space="preserve"> </v>
      </c>
      <c r="AG19" s="346" t="str">
        <f t="shared" ref="AG19:AG39" si="8">IF(AE19=0," ",IF(AI19&gt;20,(AE19-Z19)/Z19," "))</f>
        <v xml:space="preserve"> </v>
      </c>
      <c r="AH19" s="347" t="str">
        <f t="shared" ref="AH19:AH39" si="9">IF(AE19=0," ",(IF(AI19&gt;20,(AE19-U19)/U19," ")))</f>
        <v xml:space="preserve"> </v>
      </c>
      <c r="AI19" s="247">
        <f t="shared" ref="AI19:AI39" si="10">IF(AC19&gt;0,AVERAGE(AC19:AE19),"  ")</f>
        <v>3.6666666666666665</v>
      </c>
    </row>
    <row r="20" spans="1:40" ht="12" x14ac:dyDescent="0.2">
      <c r="A20" s="408" t="s">
        <v>33</v>
      </c>
      <c r="B20" s="73">
        <v>1</v>
      </c>
      <c r="C20" s="73">
        <v>3</v>
      </c>
      <c r="D20" s="73">
        <v>3</v>
      </c>
      <c r="E20" s="73">
        <v>0</v>
      </c>
      <c r="F20" s="73">
        <v>3</v>
      </c>
      <c r="G20" s="73">
        <v>2</v>
      </c>
      <c r="H20" s="5">
        <v>2</v>
      </c>
      <c r="I20" s="5">
        <v>2</v>
      </c>
      <c r="J20" s="73">
        <v>11</v>
      </c>
      <c r="K20" s="73">
        <v>15</v>
      </c>
      <c r="L20" s="73">
        <v>17</v>
      </c>
      <c r="M20" s="73">
        <v>25</v>
      </c>
      <c r="N20" s="5">
        <v>34</v>
      </c>
      <c r="O20" s="266">
        <v>40</v>
      </c>
      <c r="P20" s="266">
        <v>44</v>
      </c>
      <c r="Q20" s="318">
        <v>44</v>
      </c>
      <c r="R20" s="318">
        <v>56</v>
      </c>
      <c r="S20" s="352">
        <f>40+1</f>
        <v>41</v>
      </c>
      <c r="T20" s="318">
        <v>54</v>
      </c>
      <c r="U20" s="318">
        <v>39</v>
      </c>
      <c r="V20" s="276">
        <v>53</v>
      </c>
      <c r="W20" s="74">
        <v>43</v>
      </c>
      <c r="X20" s="5">
        <v>47</v>
      </c>
      <c r="Y20" s="5">
        <v>44</v>
      </c>
      <c r="Z20" s="74">
        <v>43</v>
      </c>
      <c r="AA20" s="74">
        <v>45</v>
      </c>
      <c r="AB20" s="74">
        <v>43</v>
      </c>
      <c r="AC20" s="74">
        <v>36</v>
      </c>
      <c r="AD20" s="74">
        <v>28</v>
      </c>
      <c r="AE20" s="75">
        <v>30</v>
      </c>
      <c r="AF20" s="229">
        <f t="shared" si="7"/>
        <v>7.1428571428571425E-2</v>
      </c>
      <c r="AG20" s="230">
        <f t="shared" si="8"/>
        <v>-0.30232558139534882</v>
      </c>
      <c r="AH20" s="231">
        <f t="shared" si="9"/>
        <v>-0.23076923076923078</v>
      </c>
      <c r="AI20" s="125">
        <f t="shared" si="10"/>
        <v>31.333333333333332</v>
      </c>
    </row>
    <row r="21" spans="1:40" ht="12" x14ac:dyDescent="0.2">
      <c r="A21" s="408" t="s">
        <v>106</v>
      </c>
      <c r="B21" s="73">
        <v>77</v>
      </c>
      <c r="C21" s="73">
        <v>97</v>
      </c>
      <c r="D21" s="73">
        <v>92</v>
      </c>
      <c r="E21" s="73">
        <v>95</v>
      </c>
      <c r="F21" s="73">
        <v>115</v>
      </c>
      <c r="G21" s="73">
        <v>94</v>
      </c>
      <c r="H21" s="5">
        <v>122</v>
      </c>
      <c r="I21" s="5">
        <v>129</v>
      </c>
      <c r="J21" s="73">
        <v>143</v>
      </c>
      <c r="K21" s="73">
        <v>135</v>
      </c>
      <c r="L21" s="73">
        <v>131</v>
      </c>
      <c r="M21" s="73">
        <v>142</v>
      </c>
      <c r="N21" s="5">
        <v>133</v>
      </c>
      <c r="O21" s="266">
        <v>155</v>
      </c>
      <c r="P21" s="266">
        <v>159</v>
      </c>
      <c r="Q21" s="318">
        <v>176</v>
      </c>
      <c r="R21" s="318">
        <v>138</v>
      </c>
      <c r="S21" s="352">
        <f>178+1</f>
        <v>179</v>
      </c>
      <c r="T21" s="318">
        <v>194</v>
      </c>
      <c r="U21" s="318">
        <f>182+3</f>
        <v>185</v>
      </c>
      <c r="V21" s="276">
        <v>162</v>
      </c>
      <c r="W21" s="74">
        <f>172+1</f>
        <v>173</v>
      </c>
      <c r="X21" s="5">
        <v>159</v>
      </c>
      <c r="Y21" s="5">
        <v>145</v>
      </c>
      <c r="Z21" s="74">
        <v>138</v>
      </c>
      <c r="AA21" s="74">
        <v>174</v>
      </c>
      <c r="AB21" s="74">
        <v>157</v>
      </c>
      <c r="AC21" s="74">
        <v>156</v>
      </c>
      <c r="AD21" s="74">
        <v>125</v>
      </c>
      <c r="AE21" s="75">
        <v>111</v>
      </c>
      <c r="AF21" s="229">
        <f t="shared" si="7"/>
        <v>-0.112</v>
      </c>
      <c r="AG21" s="230">
        <f t="shared" si="8"/>
        <v>-0.19565217391304349</v>
      </c>
      <c r="AH21" s="231">
        <f t="shared" si="9"/>
        <v>-0.4</v>
      </c>
      <c r="AI21" s="125">
        <f t="shared" si="10"/>
        <v>130.66666666666666</v>
      </c>
    </row>
    <row r="22" spans="1:40" ht="12" x14ac:dyDescent="0.2">
      <c r="A22" s="408" t="s">
        <v>6</v>
      </c>
      <c r="B22" s="73"/>
      <c r="C22" s="73"/>
      <c r="D22" s="73"/>
      <c r="E22" s="73"/>
      <c r="F22" s="73"/>
      <c r="G22" s="73"/>
      <c r="H22" s="5"/>
      <c r="I22" s="5">
        <v>4</v>
      </c>
      <c r="J22" s="73">
        <v>3</v>
      </c>
      <c r="K22" s="73">
        <v>11</v>
      </c>
      <c r="L22" s="73">
        <v>15</v>
      </c>
      <c r="M22" s="73">
        <v>12</v>
      </c>
      <c r="N22" s="5">
        <v>14</v>
      </c>
      <c r="O22" s="266">
        <v>14</v>
      </c>
      <c r="P22" s="266">
        <v>19</v>
      </c>
      <c r="Q22" s="318">
        <v>18</v>
      </c>
      <c r="R22" s="318">
        <v>26</v>
      </c>
      <c r="S22" s="352">
        <f>33+1</f>
        <v>34</v>
      </c>
      <c r="T22" s="318">
        <v>44</v>
      </c>
      <c r="U22" s="318">
        <f>40+1+3</f>
        <v>44</v>
      </c>
      <c r="V22" s="276">
        <v>41</v>
      </c>
      <c r="W22" s="74">
        <v>32</v>
      </c>
      <c r="X22" s="5">
        <v>36</v>
      </c>
      <c r="Y22" s="5">
        <v>33</v>
      </c>
      <c r="Z22" s="74">
        <v>23</v>
      </c>
      <c r="AA22" s="74">
        <v>33</v>
      </c>
      <c r="AB22" s="74">
        <v>27</v>
      </c>
      <c r="AC22" s="74">
        <v>26</v>
      </c>
      <c r="AD22" s="74">
        <v>14</v>
      </c>
      <c r="AE22" s="75">
        <v>20</v>
      </c>
      <c r="AF22" s="229" t="str">
        <f t="shared" si="7"/>
        <v xml:space="preserve"> </v>
      </c>
      <c r="AG22" s="230" t="str">
        <f t="shared" si="8"/>
        <v xml:space="preserve"> </v>
      </c>
      <c r="AH22" s="231" t="str">
        <f t="shared" si="9"/>
        <v xml:space="preserve"> </v>
      </c>
      <c r="AI22" s="125">
        <f t="shared" si="10"/>
        <v>20</v>
      </c>
    </row>
    <row r="23" spans="1:40" ht="12" x14ac:dyDescent="0.2">
      <c r="A23" s="410" t="s">
        <v>10</v>
      </c>
      <c r="B23" s="77">
        <v>35</v>
      </c>
      <c r="C23" s="77">
        <v>42</v>
      </c>
      <c r="D23" s="77">
        <v>31</v>
      </c>
      <c r="E23" s="77">
        <v>33</v>
      </c>
      <c r="F23" s="77">
        <v>31</v>
      </c>
      <c r="G23" s="77">
        <v>33</v>
      </c>
      <c r="H23" s="7">
        <v>42</v>
      </c>
      <c r="I23" s="7">
        <v>31</v>
      </c>
      <c r="J23" s="77">
        <v>38</v>
      </c>
      <c r="K23" s="77">
        <v>46</v>
      </c>
      <c r="L23" s="77">
        <v>45</v>
      </c>
      <c r="M23" s="77">
        <v>38</v>
      </c>
      <c r="N23" s="7">
        <v>45</v>
      </c>
      <c r="O23" s="267">
        <v>53</v>
      </c>
      <c r="P23" s="267">
        <v>46</v>
      </c>
      <c r="Q23" s="319">
        <v>64</v>
      </c>
      <c r="R23" s="319">
        <v>48</v>
      </c>
      <c r="S23" s="353">
        <f>60+2</f>
        <v>62</v>
      </c>
      <c r="T23" s="319">
        <v>54</v>
      </c>
      <c r="U23" s="319">
        <f>43+3</f>
        <v>46</v>
      </c>
      <c r="V23" s="277">
        <v>52</v>
      </c>
      <c r="W23" s="78">
        <f>50+4</f>
        <v>54</v>
      </c>
      <c r="X23" s="7">
        <v>50</v>
      </c>
      <c r="Y23" s="7">
        <v>44</v>
      </c>
      <c r="Z23" s="78">
        <v>37</v>
      </c>
      <c r="AA23" s="78">
        <v>56</v>
      </c>
      <c r="AB23" s="78">
        <v>44</v>
      </c>
      <c r="AC23" s="78">
        <v>31</v>
      </c>
      <c r="AD23" s="78">
        <v>43</v>
      </c>
      <c r="AE23" s="79">
        <v>27</v>
      </c>
      <c r="AF23" s="232">
        <f t="shared" si="7"/>
        <v>-0.37209302325581395</v>
      </c>
      <c r="AG23" s="233">
        <f t="shared" si="8"/>
        <v>-0.27027027027027029</v>
      </c>
      <c r="AH23" s="234">
        <f t="shared" si="9"/>
        <v>-0.41304347826086957</v>
      </c>
      <c r="AI23" s="246">
        <f t="shared" si="10"/>
        <v>33.666666666666664</v>
      </c>
    </row>
    <row r="24" spans="1:40" ht="12" x14ac:dyDescent="0.2">
      <c r="A24" s="409" t="s">
        <v>47</v>
      </c>
      <c r="B24" s="102"/>
      <c r="C24" s="102"/>
      <c r="D24" s="102"/>
      <c r="E24" s="102"/>
      <c r="F24" s="102"/>
      <c r="G24" s="102"/>
      <c r="H24" s="103"/>
      <c r="I24" s="103"/>
      <c r="J24" s="102"/>
      <c r="K24" s="102"/>
      <c r="L24" s="102"/>
      <c r="M24" s="102"/>
      <c r="N24" s="103"/>
      <c r="O24" s="272">
        <v>1</v>
      </c>
      <c r="P24" s="272">
        <v>2</v>
      </c>
      <c r="Q24" s="325">
        <v>2</v>
      </c>
      <c r="R24" s="325">
        <v>0</v>
      </c>
      <c r="S24" s="356">
        <v>1</v>
      </c>
      <c r="T24" s="325">
        <v>2</v>
      </c>
      <c r="U24" s="325">
        <v>2</v>
      </c>
      <c r="V24" s="281">
        <v>2</v>
      </c>
      <c r="W24" s="88">
        <v>4</v>
      </c>
      <c r="X24" s="103">
        <v>3</v>
      </c>
      <c r="Y24" s="103">
        <v>0</v>
      </c>
      <c r="Z24" s="88">
        <v>1</v>
      </c>
      <c r="AA24" s="88">
        <v>2</v>
      </c>
      <c r="AB24" s="88">
        <v>3</v>
      </c>
      <c r="AC24" s="88">
        <v>1</v>
      </c>
      <c r="AD24" s="88">
        <v>1</v>
      </c>
      <c r="AE24" s="104">
        <v>2</v>
      </c>
      <c r="AF24" s="226" t="str">
        <f t="shared" si="7"/>
        <v xml:space="preserve"> </v>
      </c>
      <c r="AG24" s="227" t="str">
        <f t="shared" si="8"/>
        <v xml:space="preserve"> </v>
      </c>
      <c r="AH24" s="228" t="str">
        <f t="shared" si="9"/>
        <v xml:space="preserve"> </v>
      </c>
      <c r="AI24" s="245">
        <f t="shared" si="10"/>
        <v>1.3333333333333333</v>
      </c>
    </row>
    <row r="25" spans="1:40" ht="12" x14ac:dyDescent="0.2">
      <c r="A25" s="408" t="s">
        <v>51</v>
      </c>
      <c r="B25" s="73"/>
      <c r="C25" s="73"/>
      <c r="D25" s="73"/>
      <c r="E25" s="73"/>
      <c r="F25" s="73"/>
      <c r="G25" s="73"/>
      <c r="H25" s="5"/>
      <c r="I25" s="5"/>
      <c r="J25" s="73"/>
      <c r="K25" s="73"/>
      <c r="L25" s="73"/>
      <c r="M25" s="73">
        <v>1</v>
      </c>
      <c r="N25" s="5">
        <v>4</v>
      </c>
      <c r="O25" s="266">
        <v>3</v>
      </c>
      <c r="P25" s="266">
        <v>6</v>
      </c>
      <c r="Q25" s="318">
        <v>17</v>
      </c>
      <c r="R25" s="318">
        <f>17+1</f>
        <v>18</v>
      </c>
      <c r="S25" s="352">
        <v>23</v>
      </c>
      <c r="T25" s="318">
        <v>21</v>
      </c>
      <c r="U25" s="318">
        <f>47+1</f>
        <v>48</v>
      </c>
      <c r="V25" s="276">
        <v>42</v>
      </c>
      <c r="W25" s="74">
        <f>42+2</f>
        <v>44</v>
      </c>
      <c r="X25" s="5">
        <v>40</v>
      </c>
      <c r="Y25" s="5">
        <v>53</v>
      </c>
      <c r="Z25" s="74">
        <v>47</v>
      </c>
      <c r="AA25" s="74">
        <v>49</v>
      </c>
      <c r="AB25" s="74">
        <v>51</v>
      </c>
      <c r="AC25" s="74">
        <v>38</v>
      </c>
      <c r="AD25" s="74">
        <v>33</v>
      </c>
      <c r="AE25" s="75">
        <v>24</v>
      </c>
      <c r="AF25" s="229">
        <f t="shared" si="7"/>
        <v>-0.27272727272727271</v>
      </c>
      <c r="AG25" s="230">
        <f t="shared" si="8"/>
        <v>-0.48936170212765956</v>
      </c>
      <c r="AH25" s="231">
        <f t="shared" si="9"/>
        <v>-0.5</v>
      </c>
      <c r="AI25" s="125">
        <f t="shared" si="10"/>
        <v>31.666666666666668</v>
      </c>
    </row>
    <row r="26" spans="1:40" ht="12" x14ac:dyDescent="0.2">
      <c r="A26" s="408" t="s">
        <v>13</v>
      </c>
      <c r="B26" s="73">
        <v>3</v>
      </c>
      <c r="C26" s="73">
        <v>2</v>
      </c>
      <c r="D26" s="73">
        <v>1</v>
      </c>
      <c r="E26" s="73">
        <v>2</v>
      </c>
      <c r="F26" s="73">
        <v>1</v>
      </c>
      <c r="G26" s="73">
        <v>3</v>
      </c>
      <c r="H26" s="5">
        <v>1</v>
      </c>
      <c r="I26" s="5">
        <v>3</v>
      </c>
      <c r="J26" s="73">
        <v>5</v>
      </c>
      <c r="K26" s="73">
        <v>1</v>
      </c>
      <c r="L26" s="73">
        <v>5</v>
      </c>
      <c r="M26" s="73">
        <v>2</v>
      </c>
      <c r="N26" s="5">
        <v>1</v>
      </c>
      <c r="O26" s="266">
        <v>3</v>
      </c>
      <c r="P26" s="266">
        <v>2</v>
      </c>
      <c r="Q26" s="318">
        <v>0</v>
      </c>
      <c r="R26" s="318">
        <v>2</v>
      </c>
      <c r="S26" s="352">
        <v>2</v>
      </c>
      <c r="T26" s="318">
        <v>2</v>
      </c>
      <c r="U26" s="318">
        <v>1</v>
      </c>
      <c r="V26" s="276">
        <v>4</v>
      </c>
      <c r="W26" s="74">
        <f>3+3</f>
        <v>6</v>
      </c>
      <c r="X26" s="5">
        <v>1</v>
      </c>
      <c r="Y26" s="5">
        <v>4</v>
      </c>
      <c r="Z26" s="74">
        <v>5</v>
      </c>
      <c r="AA26" s="74">
        <v>3</v>
      </c>
      <c r="AB26" s="74">
        <v>5</v>
      </c>
      <c r="AC26" s="74">
        <v>3</v>
      </c>
      <c r="AD26" s="74">
        <v>3</v>
      </c>
      <c r="AE26" s="75">
        <v>3</v>
      </c>
      <c r="AF26" s="229" t="str">
        <f t="shared" si="7"/>
        <v xml:space="preserve"> </v>
      </c>
      <c r="AG26" s="230" t="str">
        <f t="shared" si="8"/>
        <v xml:space="preserve"> </v>
      </c>
      <c r="AH26" s="231" t="str">
        <f t="shared" si="9"/>
        <v xml:space="preserve"> </v>
      </c>
      <c r="AI26" s="125">
        <f t="shared" si="10"/>
        <v>3</v>
      </c>
    </row>
    <row r="27" spans="1:40" ht="12" x14ac:dyDescent="0.2">
      <c r="A27" s="408" t="s">
        <v>15</v>
      </c>
      <c r="B27" s="73">
        <v>43</v>
      </c>
      <c r="C27" s="73">
        <v>47</v>
      </c>
      <c r="D27" s="73">
        <v>50</v>
      </c>
      <c r="E27" s="73">
        <v>65</v>
      </c>
      <c r="F27" s="73">
        <v>47</v>
      </c>
      <c r="G27" s="73">
        <v>37</v>
      </c>
      <c r="H27" s="5">
        <v>33</v>
      </c>
      <c r="I27" s="5">
        <v>45</v>
      </c>
      <c r="J27" s="73">
        <v>52</v>
      </c>
      <c r="K27" s="73">
        <v>85</v>
      </c>
      <c r="L27" s="73">
        <v>72</v>
      </c>
      <c r="M27" s="73">
        <v>55</v>
      </c>
      <c r="N27" s="5">
        <v>67</v>
      </c>
      <c r="O27" s="266">
        <v>50</v>
      </c>
      <c r="P27" s="266">
        <v>60</v>
      </c>
      <c r="Q27" s="318">
        <v>70</v>
      </c>
      <c r="R27" s="318">
        <f>75+1</f>
        <v>76</v>
      </c>
      <c r="S27" s="352">
        <f>53+2</f>
        <v>55</v>
      </c>
      <c r="T27" s="318">
        <v>66</v>
      </c>
      <c r="U27" s="318">
        <f>50+3</f>
        <v>53</v>
      </c>
      <c r="V27" s="276">
        <v>47</v>
      </c>
      <c r="W27" s="74">
        <v>39</v>
      </c>
      <c r="X27" s="5">
        <v>42</v>
      </c>
      <c r="Y27" s="5">
        <v>46</v>
      </c>
      <c r="Z27" s="74">
        <v>37</v>
      </c>
      <c r="AA27" s="74">
        <v>31</v>
      </c>
      <c r="AB27" s="74">
        <v>35</v>
      </c>
      <c r="AC27" s="74">
        <v>35</v>
      </c>
      <c r="AD27" s="74">
        <v>35</v>
      </c>
      <c r="AE27" s="75">
        <v>23</v>
      </c>
      <c r="AF27" s="229">
        <f t="shared" si="7"/>
        <v>-0.34285714285714286</v>
      </c>
      <c r="AG27" s="230">
        <f t="shared" si="8"/>
        <v>-0.3783783783783784</v>
      </c>
      <c r="AH27" s="231">
        <f t="shared" si="9"/>
        <v>-0.56603773584905659</v>
      </c>
      <c r="AI27" s="125">
        <f t="shared" si="10"/>
        <v>31</v>
      </c>
      <c r="AN27" s="411" t="s">
        <v>57</v>
      </c>
    </row>
    <row r="28" spans="1:40" ht="12" x14ac:dyDescent="0.2">
      <c r="A28" s="585" t="s">
        <v>146</v>
      </c>
      <c r="B28" s="77"/>
      <c r="C28" s="77"/>
      <c r="D28" s="77"/>
      <c r="E28" s="77"/>
      <c r="F28" s="77"/>
      <c r="G28" s="77"/>
      <c r="H28" s="7"/>
      <c r="I28" s="7">
        <v>26</v>
      </c>
      <c r="J28" s="77">
        <v>53</v>
      </c>
      <c r="K28" s="77">
        <v>63</v>
      </c>
      <c r="L28" s="77">
        <v>55</v>
      </c>
      <c r="M28" s="77">
        <v>58</v>
      </c>
      <c r="N28" s="7">
        <v>61</v>
      </c>
      <c r="O28" s="267">
        <v>71</v>
      </c>
      <c r="P28" s="267">
        <v>67</v>
      </c>
      <c r="Q28" s="319">
        <v>52</v>
      </c>
      <c r="R28" s="319">
        <v>66</v>
      </c>
      <c r="S28" s="353">
        <v>67</v>
      </c>
      <c r="T28" s="319">
        <v>53</v>
      </c>
      <c r="U28" s="319">
        <v>22</v>
      </c>
      <c r="V28" s="277">
        <v>58</v>
      </c>
      <c r="W28" s="78">
        <v>56</v>
      </c>
      <c r="X28" s="7">
        <v>64</v>
      </c>
      <c r="Y28" s="7">
        <v>54</v>
      </c>
      <c r="Z28" s="78">
        <v>21</v>
      </c>
      <c r="AA28" s="78">
        <v>25</v>
      </c>
      <c r="AB28" s="78">
        <v>14</v>
      </c>
      <c r="AC28" s="78">
        <v>15</v>
      </c>
      <c r="AD28" s="78">
        <v>28</v>
      </c>
      <c r="AE28" s="79">
        <v>20</v>
      </c>
      <c r="AF28" s="232">
        <f t="shared" si="7"/>
        <v>-0.2857142857142857</v>
      </c>
      <c r="AG28" s="233">
        <f t="shared" si="8"/>
        <v>-4.7619047619047616E-2</v>
      </c>
      <c r="AH28" s="234">
        <f t="shared" si="9"/>
        <v>-9.0909090909090912E-2</v>
      </c>
      <c r="AI28" s="246">
        <f t="shared" si="10"/>
        <v>21</v>
      </c>
      <c r="AN28" s="411"/>
    </row>
    <row r="29" spans="1:40" ht="12" x14ac:dyDescent="0.2">
      <c r="A29" s="586" t="s">
        <v>147</v>
      </c>
      <c r="B29" s="102"/>
      <c r="C29" s="102"/>
      <c r="D29" s="102"/>
      <c r="E29" s="102"/>
      <c r="F29" s="102"/>
      <c r="G29" s="102"/>
      <c r="H29" s="103"/>
      <c r="I29" s="103"/>
      <c r="J29" s="102"/>
      <c r="K29" s="102"/>
      <c r="L29" s="102"/>
      <c r="M29" s="102"/>
      <c r="N29" s="103"/>
      <c r="O29" s="272"/>
      <c r="P29" s="272"/>
      <c r="Q29" s="325"/>
      <c r="R29" s="325"/>
      <c r="S29" s="356"/>
      <c r="T29" s="325"/>
      <c r="U29" s="325">
        <v>29</v>
      </c>
      <c r="V29" s="281"/>
      <c r="W29" s="88"/>
      <c r="X29" s="103"/>
      <c r="Y29" s="103"/>
      <c r="Z29" s="88">
        <v>34</v>
      </c>
      <c r="AA29" s="88">
        <v>41</v>
      </c>
      <c r="AB29" s="88">
        <v>36</v>
      </c>
      <c r="AC29" s="88">
        <v>28</v>
      </c>
      <c r="AD29" s="88">
        <v>36</v>
      </c>
      <c r="AE29" s="104">
        <v>25</v>
      </c>
      <c r="AF29" s="226">
        <f t="shared" ref="AF29:AF30" si="11">IF(AE29=0," ",IF(AI29&gt;20,(AE29-AD29)/AD29," "))</f>
        <v>-0.30555555555555558</v>
      </c>
      <c r="AG29" s="227">
        <f t="shared" ref="AG29:AG30" si="12">IF(AE29=0," ",IF(AI29&gt;20,(AE29-Z29)/Z29," "))</f>
        <v>-0.26470588235294118</v>
      </c>
      <c r="AH29" s="228">
        <f t="shared" ref="AH29:AH30" si="13">IF(AE29=0," ",(IF(AI29&gt;20,(AE29-U29)/U29," ")))</f>
        <v>-0.13793103448275862</v>
      </c>
      <c r="AI29" s="245">
        <f t="shared" ref="AI29:AI30" si="14">IF(AC29&gt;0,AVERAGE(AC29:AE29),"  ")</f>
        <v>29.666666666666668</v>
      </c>
      <c r="AN29" s="411"/>
    </row>
    <row r="30" spans="1:40" ht="12" x14ac:dyDescent="0.2">
      <c r="A30" s="408" t="s">
        <v>16</v>
      </c>
      <c r="B30" s="73"/>
      <c r="C30" s="73"/>
      <c r="D30" s="73"/>
      <c r="E30" s="73"/>
      <c r="F30" s="73"/>
      <c r="G30" s="73"/>
      <c r="H30" s="5"/>
      <c r="I30" s="5"/>
      <c r="J30" s="73"/>
      <c r="K30" s="73"/>
      <c r="L30" s="73">
        <v>1</v>
      </c>
      <c r="M30" s="73">
        <v>6</v>
      </c>
      <c r="N30" s="5">
        <v>9</v>
      </c>
      <c r="O30" s="266">
        <v>12</v>
      </c>
      <c r="P30" s="266">
        <v>11</v>
      </c>
      <c r="Q30" s="318">
        <v>11</v>
      </c>
      <c r="R30" s="318">
        <f>21+2</f>
        <v>23</v>
      </c>
      <c r="S30" s="352">
        <f>25+2</f>
        <v>27</v>
      </c>
      <c r="T30" s="318">
        <v>16</v>
      </c>
      <c r="U30" s="318">
        <f>17+1</f>
        <v>18</v>
      </c>
      <c r="V30" s="276">
        <v>15</v>
      </c>
      <c r="W30" s="74">
        <f>12+1</f>
        <v>13</v>
      </c>
      <c r="X30" s="5">
        <v>15</v>
      </c>
      <c r="Y30" s="5">
        <v>17</v>
      </c>
      <c r="Z30" s="74">
        <v>19</v>
      </c>
      <c r="AA30" s="74">
        <v>23</v>
      </c>
      <c r="AB30" s="74">
        <v>13</v>
      </c>
      <c r="AC30" s="74">
        <v>12</v>
      </c>
      <c r="AD30" s="74">
        <v>12</v>
      </c>
      <c r="AE30" s="75">
        <v>9</v>
      </c>
      <c r="AF30" s="229" t="str">
        <f t="shared" si="11"/>
        <v xml:space="preserve"> </v>
      </c>
      <c r="AG30" s="230" t="str">
        <f t="shared" si="12"/>
        <v xml:space="preserve"> </v>
      </c>
      <c r="AH30" s="231" t="str">
        <f t="shared" si="13"/>
        <v xml:space="preserve"> </v>
      </c>
      <c r="AI30" s="125">
        <f t="shared" si="14"/>
        <v>11</v>
      </c>
      <c r="AN30" s="411" t="s">
        <v>58</v>
      </c>
    </row>
    <row r="31" spans="1:40" ht="12" x14ac:dyDescent="0.2">
      <c r="A31" s="412" t="s">
        <v>20</v>
      </c>
      <c r="B31" s="73">
        <v>2</v>
      </c>
      <c r="C31" s="73">
        <v>7</v>
      </c>
      <c r="D31" s="73">
        <v>6</v>
      </c>
      <c r="E31" s="73">
        <v>5</v>
      </c>
      <c r="F31" s="73">
        <v>4</v>
      </c>
      <c r="G31" s="73">
        <v>1</v>
      </c>
      <c r="H31" s="5">
        <v>5</v>
      </c>
      <c r="I31" s="5">
        <v>8</v>
      </c>
      <c r="J31" s="73">
        <v>9</v>
      </c>
      <c r="K31" s="73">
        <v>2</v>
      </c>
      <c r="L31" s="73">
        <v>5</v>
      </c>
      <c r="M31" s="73">
        <v>6</v>
      </c>
      <c r="N31" s="5">
        <v>2</v>
      </c>
      <c r="O31" s="266">
        <v>6</v>
      </c>
      <c r="P31" s="266">
        <v>7</v>
      </c>
      <c r="Q31" s="318">
        <v>9</v>
      </c>
      <c r="R31" s="318">
        <v>7</v>
      </c>
      <c r="S31" s="352">
        <v>10</v>
      </c>
      <c r="T31" s="318">
        <v>5</v>
      </c>
      <c r="U31" s="318">
        <v>9</v>
      </c>
      <c r="V31" s="276">
        <v>18</v>
      </c>
      <c r="W31" s="74">
        <v>8</v>
      </c>
      <c r="X31" s="5">
        <v>10</v>
      </c>
      <c r="Y31" s="5">
        <v>12</v>
      </c>
      <c r="Z31" s="74">
        <v>13</v>
      </c>
      <c r="AA31" s="74">
        <v>7</v>
      </c>
      <c r="AB31" s="74">
        <v>18</v>
      </c>
      <c r="AC31" s="74">
        <v>5</v>
      </c>
      <c r="AD31" s="74">
        <v>4</v>
      </c>
      <c r="AE31" s="75">
        <v>10</v>
      </c>
      <c r="AF31" s="229" t="str">
        <f t="shared" si="7"/>
        <v xml:space="preserve"> </v>
      </c>
      <c r="AG31" s="230" t="str">
        <f t="shared" si="8"/>
        <v xml:space="preserve"> </v>
      </c>
      <c r="AH31" s="231" t="str">
        <f t="shared" si="9"/>
        <v xml:space="preserve"> </v>
      </c>
      <c r="AI31" s="125">
        <f t="shared" si="10"/>
        <v>6.333333333333333</v>
      </c>
    </row>
    <row r="32" spans="1:40" ht="12" x14ac:dyDescent="0.2">
      <c r="A32" s="412" t="s">
        <v>21</v>
      </c>
      <c r="B32" s="73">
        <v>11</v>
      </c>
      <c r="C32" s="73">
        <v>7</v>
      </c>
      <c r="D32" s="73">
        <v>10</v>
      </c>
      <c r="E32" s="73">
        <v>11</v>
      </c>
      <c r="F32" s="73">
        <v>12</v>
      </c>
      <c r="G32" s="73">
        <v>6</v>
      </c>
      <c r="H32" s="5">
        <v>9</v>
      </c>
      <c r="I32" s="5">
        <v>22</v>
      </c>
      <c r="J32" s="73">
        <v>16</v>
      </c>
      <c r="K32" s="73">
        <v>17</v>
      </c>
      <c r="L32" s="73">
        <v>4</v>
      </c>
      <c r="M32" s="73">
        <v>18</v>
      </c>
      <c r="N32" s="5">
        <v>14</v>
      </c>
      <c r="O32" s="266">
        <v>19</v>
      </c>
      <c r="P32" s="266">
        <v>14</v>
      </c>
      <c r="Q32" s="318">
        <v>14</v>
      </c>
      <c r="R32" s="318">
        <v>12</v>
      </c>
      <c r="S32" s="352">
        <f>7+1</f>
        <v>8</v>
      </c>
      <c r="T32" s="318">
        <v>9</v>
      </c>
      <c r="U32" s="318">
        <v>11</v>
      </c>
      <c r="V32" s="276">
        <v>8</v>
      </c>
      <c r="W32" s="74">
        <f>1+1</f>
        <v>2</v>
      </c>
      <c r="X32" s="5">
        <v>5</v>
      </c>
      <c r="Y32" s="5">
        <v>4</v>
      </c>
      <c r="Z32" s="74">
        <v>7</v>
      </c>
      <c r="AA32" s="74">
        <v>3</v>
      </c>
      <c r="AB32" s="74">
        <v>5</v>
      </c>
      <c r="AC32" s="74">
        <v>3</v>
      </c>
      <c r="AD32" s="74">
        <v>10</v>
      </c>
      <c r="AE32" s="75">
        <v>12</v>
      </c>
      <c r="AF32" s="229" t="str">
        <f t="shared" si="7"/>
        <v xml:space="preserve"> </v>
      </c>
      <c r="AG32" s="230" t="str">
        <f t="shared" si="8"/>
        <v xml:space="preserve"> </v>
      </c>
      <c r="AH32" s="231" t="str">
        <f t="shared" si="9"/>
        <v xml:space="preserve"> </v>
      </c>
      <c r="AI32" s="125">
        <f t="shared" si="10"/>
        <v>8.3333333333333339</v>
      </c>
    </row>
    <row r="33" spans="1:169" ht="12" x14ac:dyDescent="0.2">
      <c r="A33" s="402" t="s">
        <v>24</v>
      </c>
      <c r="B33" s="77">
        <v>22</v>
      </c>
      <c r="C33" s="77">
        <v>27</v>
      </c>
      <c r="D33" s="77">
        <v>27</v>
      </c>
      <c r="E33" s="77">
        <v>25</v>
      </c>
      <c r="F33" s="77">
        <v>25</v>
      </c>
      <c r="G33" s="77">
        <v>28</v>
      </c>
      <c r="H33" s="7">
        <v>33</v>
      </c>
      <c r="I33" s="7">
        <v>25</v>
      </c>
      <c r="J33" s="77">
        <v>25</v>
      </c>
      <c r="K33" s="77">
        <v>25</v>
      </c>
      <c r="L33" s="77">
        <v>31</v>
      </c>
      <c r="M33" s="77">
        <v>30</v>
      </c>
      <c r="N33" s="7">
        <v>33</v>
      </c>
      <c r="O33" s="267">
        <v>26</v>
      </c>
      <c r="P33" s="267">
        <v>32</v>
      </c>
      <c r="Q33" s="319">
        <v>28</v>
      </c>
      <c r="R33" s="319">
        <v>34</v>
      </c>
      <c r="S33" s="353">
        <f>34+1</f>
        <v>35</v>
      </c>
      <c r="T33" s="319">
        <v>37</v>
      </c>
      <c r="U33" s="319">
        <f>33+1</f>
        <v>34</v>
      </c>
      <c r="V33" s="277">
        <v>33</v>
      </c>
      <c r="W33" s="78">
        <f>20+1</f>
        <v>21</v>
      </c>
      <c r="X33" s="7">
        <v>23</v>
      </c>
      <c r="Y33" s="7">
        <v>38</v>
      </c>
      <c r="Z33" s="78">
        <v>34</v>
      </c>
      <c r="AA33" s="78">
        <v>32</v>
      </c>
      <c r="AB33" s="78">
        <v>37</v>
      </c>
      <c r="AC33" s="78">
        <v>17</v>
      </c>
      <c r="AD33" s="78">
        <v>26</v>
      </c>
      <c r="AE33" s="79">
        <v>25</v>
      </c>
      <c r="AF33" s="232">
        <f t="shared" si="7"/>
        <v>-3.8461538461538464E-2</v>
      </c>
      <c r="AG33" s="233">
        <f t="shared" si="8"/>
        <v>-0.26470588235294118</v>
      </c>
      <c r="AH33" s="234">
        <f t="shared" si="9"/>
        <v>-0.26470588235294118</v>
      </c>
      <c r="AI33" s="246">
        <f t="shared" si="10"/>
        <v>22.666666666666668</v>
      </c>
    </row>
    <row r="34" spans="1:169" ht="12" x14ac:dyDescent="0.2">
      <c r="A34" s="412" t="s">
        <v>25</v>
      </c>
      <c r="B34" s="73">
        <v>67</v>
      </c>
      <c r="C34" s="73">
        <v>74</v>
      </c>
      <c r="D34" s="73">
        <v>67</v>
      </c>
      <c r="E34" s="73">
        <v>81</v>
      </c>
      <c r="F34" s="73">
        <v>67</v>
      </c>
      <c r="G34" s="73">
        <v>71</v>
      </c>
      <c r="H34" s="5">
        <v>85</v>
      </c>
      <c r="I34" s="5">
        <v>79</v>
      </c>
      <c r="J34" s="73">
        <v>58</v>
      </c>
      <c r="K34" s="73">
        <v>84</v>
      </c>
      <c r="L34" s="73">
        <v>78</v>
      </c>
      <c r="M34" s="73">
        <v>71</v>
      </c>
      <c r="N34" s="5">
        <v>91</v>
      </c>
      <c r="O34" s="266">
        <v>106</v>
      </c>
      <c r="P34" s="266">
        <v>99</v>
      </c>
      <c r="Q34" s="318">
        <v>117</v>
      </c>
      <c r="R34" s="318">
        <v>120</v>
      </c>
      <c r="S34" s="352">
        <f>119+1</f>
        <v>120</v>
      </c>
      <c r="T34" s="318">
        <v>165</v>
      </c>
      <c r="U34" s="318">
        <f>121+4</f>
        <v>125</v>
      </c>
      <c r="V34" s="276">
        <v>144</v>
      </c>
      <c r="W34" s="74">
        <f>135+5</f>
        <v>140</v>
      </c>
      <c r="X34" s="5">
        <v>137</v>
      </c>
      <c r="Y34" s="5">
        <v>118</v>
      </c>
      <c r="Z34" s="74">
        <v>138</v>
      </c>
      <c r="AA34" s="74">
        <v>113</v>
      </c>
      <c r="AB34" s="74">
        <v>155</v>
      </c>
      <c r="AC34" s="74">
        <v>143</v>
      </c>
      <c r="AD34" s="74">
        <v>126</v>
      </c>
      <c r="AE34" s="75">
        <v>106</v>
      </c>
      <c r="AF34" s="229">
        <f t="shared" si="7"/>
        <v>-0.15873015873015872</v>
      </c>
      <c r="AG34" s="230">
        <f t="shared" si="8"/>
        <v>-0.2318840579710145</v>
      </c>
      <c r="AH34" s="231">
        <f t="shared" si="9"/>
        <v>-0.152</v>
      </c>
      <c r="AI34" s="125">
        <f t="shared" si="10"/>
        <v>125</v>
      </c>
    </row>
    <row r="35" spans="1:169" ht="12" x14ac:dyDescent="0.2">
      <c r="A35" s="412" t="s">
        <v>28</v>
      </c>
      <c r="B35" s="73">
        <v>16</v>
      </c>
      <c r="C35" s="73">
        <v>16</v>
      </c>
      <c r="D35" s="73">
        <v>17</v>
      </c>
      <c r="E35" s="73">
        <v>16</v>
      </c>
      <c r="F35" s="73">
        <v>8</v>
      </c>
      <c r="G35" s="73">
        <v>16</v>
      </c>
      <c r="H35" s="5">
        <v>16</v>
      </c>
      <c r="I35" s="5">
        <v>12</v>
      </c>
      <c r="J35" s="73">
        <v>7</v>
      </c>
      <c r="K35" s="73">
        <v>5</v>
      </c>
      <c r="L35" s="73">
        <v>10</v>
      </c>
      <c r="M35" s="73">
        <v>7</v>
      </c>
      <c r="N35" s="5">
        <v>9</v>
      </c>
      <c r="O35" s="266">
        <v>11</v>
      </c>
      <c r="P35" s="266">
        <v>18</v>
      </c>
      <c r="Q35" s="318">
        <v>15</v>
      </c>
      <c r="R35" s="318">
        <v>21</v>
      </c>
      <c r="S35" s="352">
        <v>16</v>
      </c>
      <c r="T35" s="318">
        <v>12</v>
      </c>
      <c r="U35" s="318">
        <v>9</v>
      </c>
      <c r="V35" s="276">
        <v>20</v>
      </c>
      <c r="W35" s="74">
        <v>18</v>
      </c>
      <c r="X35" s="5">
        <v>13</v>
      </c>
      <c r="Y35" s="5">
        <v>17</v>
      </c>
      <c r="Z35" s="74">
        <v>14</v>
      </c>
      <c r="AA35" s="74">
        <v>11</v>
      </c>
      <c r="AB35" s="74">
        <v>23</v>
      </c>
      <c r="AC35" s="74">
        <v>11</v>
      </c>
      <c r="AD35" s="74">
        <v>15</v>
      </c>
      <c r="AE35" s="75">
        <v>8</v>
      </c>
      <c r="AF35" s="229" t="str">
        <f t="shared" si="7"/>
        <v xml:space="preserve"> </v>
      </c>
      <c r="AG35" s="230" t="str">
        <f t="shared" si="8"/>
        <v xml:space="preserve"> </v>
      </c>
      <c r="AH35" s="231" t="str">
        <f t="shared" si="9"/>
        <v xml:space="preserve"> </v>
      </c>
      <c r="AI35" s="125">
        <f t="shared" si="10"/>
        <v>11.333333333333334</v>
      </c>
    </row>
    <row r="36" spans="1:169" ht="12" x14ac:dyDescent="0.2">
      <c r="A36" s="412" t="s">
        <v>29</v>
      </c>
      <c r="B36" s="73">
        <v>1</v>
      </c>
      <c r="C36" s="73">
        <v>0</v>
      </c>
      <c r="D36" s="73">
        <v>3</v>
      </c>
      <c r="E36" s="73">
        <v>5</v>
      </c>
      <c r="F36" s="73">
        <v>4</v>
      </c>
      <c r="G36" s="73">
        <v>6</v>
      </c>
      <c r="H36" s="5">
        <v>8</v>
      </c>
      <c r="I36" s="5">
        <v>12</v>
      </c>
      <c r="J36" s="73">
        <v>13</v>
      </c>
      <c r="K36" s="73">
        <v>8</v>
      </c>
      <c r="L36" s="73">
        <v>11</v>
      </c>
      <c r="M36" s="73">
        <v>16</v>
      </c>
      <c r="N36" s="5">
        <v>27</v>
      </c>
      <c r="O36" s="266">
        <v>17</v>
      </c>
      <c r="P36" s="266">
        <v>12</v>
      </c>
      <c r="Q36" s="318">
        <v>11</v>
      </c>
      <c r="R36" s="318">
        <v>6</v>
      </c>
      <c r="S36" s="352">
        <f>6+7</f>
        <v>13</v>
      </c>
      <c r="T36" s="318">
        <v>13</v>
      </c>
      <c r="U36" s="318">
        <f>9+2</f>
        <v>11</v>
      </c>
      <c r="V36" s="276">
        <v>11</v>
      </c>
      <c r="W36" s="74">
        <f>9+5</f>
        <v>14</v>
      </c>
      <c r="X36" s="5">
        <v>7</v>
      </c>
      <c r="Y36" s="5">
        <v>9</v>
      </c>
      <c r="Z36" s="74">
        <v>6</v>
      </c>
      <c r="AA36" s="74">
        <v>7</v>
      </c>
      <c r="AB36" s="74">
        <v>10</v>
      </c>
      <c r="AC36" s="74">
        <v>6</v>
      </c>
      <c r="AD36" s="74">
        <v>4</v>
      </c>
      <c r="AE36" s="75">
        <v>4</v>
      </c>
      <c r="AF36" s="229" t="str">
        <f t="shared" si="7"/>
        <v xml:space="preserve"> </v>
      </c>
      <c r="AG36" s="230" t="str">
        <f t="shared" si="8"/>
        <v xml:space="preserve"> </v>
      </c>
      <c r="AH36" s="231" t="str">
        <f t="shared" si="9"/>
        <v xml:space="preserve"> </v>
      </c>
      <c r="AI36" s="125">
        <f t="shared" si="10"/>
        <v>4.666666666666667</v>
      </c>
    </row>
    <row r="37" spans="1:169" ht="12" x14ac:dyDescent="0.2">
      <c r="A37" s="412" t="s">
        <v>30</v>
      </c>
      <c r="B37" s="73"/>
      <c r="C37" s="73"/>
      <c r="D37" s="73"/>
      <c r="E37" s="73"/>
      <c r="F37" s="73"/>
      <c r="G37" s="73"/>
      <c r="H37" s="5"/>
      <c r="I37" s="5">
        <v>2</v>
      </c>
      <c r="J37" s="73">
        <v>6</v>
      </c>
      <c r="K37" s="73">
        <v>1</v>
      </c>
      <c r="L37" s="73">
        <v>5</v>
      </c>
      <c r="M37" s="73">
        <v>7</v>
      </c>
      <c r="N37" s="5">
        <v>5</v>
      </c>
      <c r="O37" s="266">
        <v>8</v>
      </c>
      <c r="P37" s="266">
        <v>9</v>
      </c>
      <c r="Q37" s="318">
        <v>4</v>
      </c>
      <c r="R37" s="318">
        <v>8</v>
      </c>
      <c r="S37" s="352">
        <v>6</v>
      </c>
      <c r="T37" s="318">
        <v>10</v>
      </c>
      <c r="U37" s="318">
        <v>12</v>
      </c>
      <c r="V37" s="276">
        <v>8</v>
      </c>
      <c r="W37" s="74">
        <v>5</v>
      </c>
      <c r="X37" s="5">
        <v>12</v>
      </c>
      <c r="Y37" s="5">
        <v>6</v>
      </c>
      <c r="Z37" s="74">
        <v>14</v>
      </c>
      <c r="AA37" s="74">
        <v>7</v>
      </c>
      <c r="AB37" s="74">
        <v>10</v>
      </c>
      <c r="AC37" s="74">
        <v>4</v>
      </c>
      <c r="AD37" s="74">
        <v>7</v>
      </c>
      <c r="AE37" s="75">
        <v>2</v>
      </c>
      <c r="AF37" s="229" t="str">
        <f t="shared" si="7"/>
        <v xml:space="preserve"> </v>
      </c>
      <c r="AG37" s="230" t="str">
        <f t="shared" si="8"/>
        <v xml:space="preserve"> </v>
      </c>
      <c r="AH37" s="231" t="str">
        <f t="shared" si="9"/>
        <v xml:space="preserve"> </v>
      </c>
      <c r="AI37" s="125">
        <f t="shared" si="10"/>
        <v>4.333333333333333</v>
      </c>
    </row>
    <row r="38" spans="1:169" ht="13.5" hidden="1" x14ac:dyDescent="0.2">
      <c r="A38" s="412" t="s">
        <v>124</v>
      </c>
      <c r="B38" s="73">
        <v>7</v>
      </c>
      <c r="C38" s="73">
        <v>4</v>
      </c>
      <c r="D38" s="73"/>
      <c r="E38" s="73"/>
      <c r="F38" s="73"/>
      <c r="G38" s="73"/>
      <c r="H38" s="5"/>
      <c r="I38" s="5"/>
      <c r="J38" s="73"/>
      <c r="K38" s="73"/>
      <c r="L38" s="73"/>
      <c r="M38" s="73"/>
      <c r="N38" s="5"/>
      <c r="O38" s="266"/>
      <c r="P38" s="266"/>
      <c r="Q38" s="318"/>
      <c r="R38" s="318"/>
      <c r="S38" s="352"/>
      <c r="T38" s="318"/>
      <c r="U38" s="318"/>
      <c r="V38" s="276"/>
      <c r="W38" s="74"/>
      <c r="X38" s="5"/>
      <c r="Y38" s="5"/>
      <c r="Z38" s="75"/>
      <c r="AA38" s="75"/>
      <c r="AB38" s="75"/>
      <c r="AC38" s="75"/>
      <c r="AD38" s="75"/>
      <c r="AE38" s="75"/>
      <c r="AF38" s="84" t="str">
        <f t="shared" si="7"/>
        <v xml:space="preserve"> </v>
      </c>
      <c r="AG38" s="85" t="str">
        <f t="shared" si="8"/>
        <v xml:space="preserve"> </v>
      </c>
      <c r="AH38" s="87" t="str">
        <f t="shared" si="9"/>
        <v xml:space="preserve"> </v>
      </c>
      <c r="AI38" s="86" t="str">
        <f t="shared" si="10"/>
        <v xml:space="preserve">  </v>
      </c>
    </row>
    <row r="39" spans="1:169" s="17" customFormat="1" ht="12.75" thickBot="1" x14ac:dyDescent="0.25">
      <c r="A39" s="413" t="s">
        <v>75</v>
      </c>
      <c r="B39" s="58">
        <f t="shared" ref="B39:AD39" si="15">SUM(B19:B38)</f>
        <v>312</v>
      </c>
      <c r="C39" s="58">
        <f t="shared" si="15"/>
        <v>344</v>
      </c>
      <c r="D39" s="58">
        <f t="shared" si="15"/>
        <v>335</v>
      </c>
      <c r="E39" s="58">
        <f t="shared" si="15"/>
        <v>359</v>
      </c>
      <c r="F39" s="58">
        <f t="shared" si="15"/>
        <v>334</v>
      </c>
      <c r="G39" s="58">
        <f t="shared" si="15"/>
        <v>320</v>
      </c>
      <c r="H39" s="58">
        <f t="shared" si="15"/>
        <v>383</v>
      </c>
      <c r="I39" s="58">
        <f t="shared" si="15"/>
        <v>431</v>
      </c>
      <c r="J39" s="58">
        <f t="shared" si="15"/>
        <v>476</v>
      </c>
      <c r="K39" s="58">
        <f t="shared" si="15"/>
        <v>539</v>
      </c>
      <c r="L39" s="58">
        <f t="shared" si="15"/>
        <v>512</v>
      </c>
      <c r="M39" s="58">
        <f t="shared" si="15"/>
        <v>526</v>
      </c>
      <c r="N39" s="58">
        <f t="shared" si="15"/>
        <v>567</v>
      </c>
      <c r="O39" s="273">
        <f t="shared" si="15"/>
        <v>616</v>
      </c>
      <c r="P39" s="273">
        <f t="shared" si="15"/>
        <v>623</v>
      </c>
      <c r="Q39" s="326">
        <f t="shared" si="15"/>
        <v>662</v>
      </c>
      <c r="R39" s="326">
        <f t="shared" si="15"/>
        <v>678</v>
      </c>
      <c r="S39" s="326">
        <f t="shared" si="15"/>
        <v>716</v>
      </c>
      <c r="T39" s="326">
        <f t="shared" si="15"/>
        <v>769</v>
      </c>
      <c r="U39" s="326">
        <f t="shared" si="15"/>
        <v>705</v>
      </c>
      <c r="V39" s="186">
        <f t="shared" si="15"/>
        <v>729</v>
      </c>
      <c r="W39" s="58">
        <f t="shared" si="15"/>
        <v>678</v>
      </c>
      <c r="X39" s="58">
        <f t="shared" si="15"/>
        <v>673</v>
      </c>
      <c r="Y39" s="58">
        <f t="shared" si="15"/>
        <v>657</v>
      </c>
      <c r="Z39" s="58">
        <f t="shared" si="15"/>
        <v>638</v>
      </c>
      <c r="AA39" s="58">
        <f t="shared" si="15"/>
        <v>664</v>
      </c>
      <c r="AB39" s="58">
        <f t="shared" si="15"/>
        <v>692</v>
      </c>
      <c r="AC39" s="58">
        <f t="shared" si="15"/>
        <v>575</v>
      </c>
      <c r="AD39" s="58">
        <f t="shared" si="15"/>
        <v>554</v>
      </c>
      <c r="AE39" s="58">
        <f>SUM(AE19:AE38)</f>
        <v>463</v>
      </c>
      <c r="AF39" s="105">
        <f>IF(AE39=0," ",IF(AI39&gt;20,(AE39-AD39)/AD39," "))</f>
        <v>-0.16425992779783394</v>
      </c>
      <c r="AG39" s="106">
        <f t="shared" si="8"/>
        <v>-0.27429467084639497</v>
      </c>
      <c r="AH39" s="107">
        <f t="shared" si="9"/>
        <v>-0.34326241134751773</v>
      </c>
      <c r="AI39" s="58">
        <f t="shared" si="10"/>
        <v>530.66666666666663</v>
      </c>
      <c r="AJ39" s="89"/>
      <c r="AK39" s="91"/>
      <c r="AL39" s="91"/>
      <c r="AM39" s="91"/>
      <c r="AN39" s="91"/>
      <c r="AO39" s="91"/>
      <c r="AP39" s="91"/>
      <c r="AQ39" s="91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</row>
    <row r="40" spans="1:169" ht="13.5" thickTop="1" x14ac:dyDescent="0.2">
      <c r="A40" s="414" t="s">
        <v>76</v>
      </c>
      <c r="B40" s="18"/>
      <c r="C40" s="19"/>
      <c r="D40" s="19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1"/>
      <c r="Z40" s="21"/>
      <c r="AA40" s="21"/>
      <c r="AB40" s="21"/>
      <c r="AC40" s="21"/>
      <c r="AD40" s="21"/>
      <c r="AE40" s="21"/>
      <c r="AF40" s="21"/>
      <c r="AG40" s="22"/>
      <c r="AH40" s="199"/>
      <c r="AI40" s="23"/>
    </row>
    <row r="41" spans="1:169" ht="12" x14ac:dyDescent="0.2">
      <c r="A41" s="584" t="s">
        <v>2</v>
      </c>
      <c r="B41" s="100">
        <v>78</v>
      </c>
      <c r="C41" s="100">
        <v>82</v>
      </c>
      <c r="D41" s="100">
        <v>104</v>
      </c>
      <c r="E41" s="100">
        <v>132</v>
      </c>
      <c r="F41" s="100">
        <v>106</v>
      </c>
      <c r="G41" s="100">
        <v>92</v>
      </c>
      <c r="H41" s="93">
        <v>92</v>
      </c>
      <c r="I41" s="93">
        <v>90</v>
      </c>
      <c r="J41" s="100">
        <v>104</v>
      </c>
      <c r="K41" s="100">
        <v>71</v>
      </c>
      <c r="L41" s="100">
        <v>82</v>
      </c>
      <c r="M41" s="100">
        <v>82</v>
      </c>
      <c r="N41" s="93">
        <v>91</v>
      </c>
      <c r="O41" s="265">
        <v>91</v>
      </c>
      <c r="P41" s="265">
        <v>85</v>
      </c>
      <c r="Q41" s="324">
        <v>93</v>
      </c>
      <c r="R41" s="324">
        <f>107+2</f>
        <v>109</v>
      </c>
      <c r="S41" s="351">
        <f>90+4</f>
        <v>94</v>
      </c>
      <c r="T41" s="324">
        <v>107</v>
      </c>
      <c r="U41" s="324">
        <v>110</v>
      </c>
      <c r="V41" s="280">
        <v>119</v>
      </c>
      <c r="W41" s="92">
        <v>119</v>
      </c>
      <c r="X41" s="93">
        <v>109</v>
      </c>
      <c r="Y41" s="93">
        <v>107</v>
      </c>
      <c r="Z41" s="92">
        <v>104</v>
      </c>
      <c r="AA41" s="92">
        <v>102</v>
      </c>
      <c r="AB41" s="92">
        <v>91</v>
      </c>
      <c r="AC41" s="92">
        <v>88</v>
      </c>
      <c r="AD41" s="92">
        <v>64</v>
      </c>
      <c r="AE41" s="101">
        <v>82</v>
      </c>
      <c r="AF41" s="345">
        <f t="shared" ref="AF41:AF52" si="16">IF(AE41=0," ",IF(AI41&gt;20,(AE41-AD41)/AD41," "))</f>
        <v>0.28125</v>
      </c>
      <c r="AG41" s="346">
        <f t="shared" ref="AG41:AG53" si="17">IF(AE41=0," ",IF(AI41&gt;20,(AE41-Z41)/Z41," "))</f>
        <v>-0.21153846153846154</v>
      </c>
      <c r="AH41" s="347">
        <f t="shared" ref="AH41:AH53" si="18">IF(AE41=0," ",(IF(AI41&gt;20,(AE41-U41)/U41," ")))</f>
        <v>-0.25454545454545452</v>
      </c>
      <c r="AI41" s="247">
        <f t="shared" ref="AI41:AI53" si="19">IF(AC41&gt;0,AVERAGE(AC41:AE41),"  ")</f>
        <v>78</v>
      </c>
    </row>
    <row r="42" spans="1:169" ht="12" x14ac:dyDescent="0.2">
      <c r="A42" s="415" t="s">
        <v>4</v>
      </c>
      <c r="B42" s="73">
        <v>11</v>
      </c>
      <c r="C42" s="73">
        <v>4</v>
      </c>
      <c r="D42" s="73">
        <v>9</v>
      </c>
      <c r="E42" s="73">
        <v>10</v>
      </c>
      <c r="F42" s="73">
        <v>11</v>
      </c>
      <c r="G42" s="73">
        <v>6</v>
      </c>
      <c r="H42" s="5">
        <v>13</v>
      </c>
      <c r="I42" s="5">
        <v>12</v>
      </c>
      <c r="J42" s="73">
        <v>10</v>
      </c>
      <c r="K42" s="73">
        <v>7</v>
      </c>
      <c r="L42" s="73">
        <v>12</v>
      </c>
      <c r="M42" s="73">
        <v>8</v>
      </c>
      <c r="N42" s="5">
        <v>9</v>
      </c>
      <c r="O42" s="266">
        <v>12</v>
      </c>
      <c r="P42" s="266">
        <v>10</v>
      </c>
      <c r="Q42" s="318">
        <v>11</v>
      </c>
      <c r="R42" s="318">
        <v>7</v>
      </c>
      <c r="S42" s="352">
        <v>13</v>
      </c>
      <c r="T42" s="318">
        <v>10</v>
      </c>
      <c r="U42" s="318">
        <v>14</v>
      </c>
      <c r="V42" s="276">
        <v>15</v>
      </c>
      <c r="W42" s="74">
        <v>20</v>
      </c>
      <c r="X42" s="5">
        <v>14</v>
      </c>
      <c r="Y42" s="5">
        <v>15</v>
      </c>
      <c r="Z42" s="74">
        <v>20</v>
      </c>
      <c r="AA42" s="74">
        <v>24</v>
      </c>
      <c r="AB42" s="74">
        <v>14</v>
      </c>
      <c r="AC42" s="74">
        <v>17</v>
      </c>
      <c r="AD42" s="74">
        <v>13</v>
      </c>
      <c r="AE42" s="75">
        <v>9</v>
      </c>
      <c r="AF42" s="229" t="str">
        <f t="shared" si="16"/>
        <v xml:space="preserve"> </v>
      </c>
      <c r="AG42" s="230" t="str">
        <f t="shared" si="17"/>
        <v xml:space="preserve"> </v>
      </c>
      <c r="AH42" s="231" t="str">
        <f t="shared" si="18"/>
        <v xml:space="preserve"> </v>
      </c>
      <c r="AI42" s="125">
        <f t="shared" si="19"/>
        <v>13</v>
      </c>
    </row>
    <row r="43" spans="1:169" ht="12" x14ac:dyDescent="0.2">
      <c r="A43" s="415" t="s">
        <v>5</v>
      </c>
      <c r="B43" s="73">
        <v>0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5">
        <v>1</v>
      </c>
      <c r="I43" s="5">
        <v>11</v>
      </c>
      <c r="J43" s="73">
        <v>6</v>
      </c>
      <c r="K43" s="73">
        <v>15</v>
      </c>
      <c r="L43" s="73">
        <v>15</v>
      </c>
      <c r="M43" s="73">
        <v>18</v>
      </c>
      <c r="N43" s="5">
        <v>10</v>
      </c>
      <c r="O43" s="266">
        <v>6</v>
      </c>
      <c r="P43" s="266">
        <v>16</v>
      </c>
      <c r="Q43" s="318">
        <v>9</v>
      </c>
      <c r="R43" s="318">
        <f>17+1</f>
        <v>18</v>
      </c>
      <c r="S43" s="352">
        <v>17</v>
      </c>
      <c r="T43" s="318">
        <v>11</v>
      </c>
      <c r="U43" s="318">
        <v>15</v>
      </c>
      <c r="V43" s="276">
        <v>26</v>
      </c>
      <c r="W43" s="74">
        <v>25</v>
      </c>
      <c r="X43" s="5">
        <v>31</v>
      </c>
      <c r="Y43" s="5">
        <v>36</v>
      </c>
      <c r="Z43" s="74">
        <v>36</v>
      </c>
      <c r="AA43" s="74">
        <v>39</v>
      </c>
      <c r="AB43" s="74">
        <v>26</v>
      </c>
      <c r="AC43" s="74">
        <v>29</v>
      </c>
      <c r="AD43" s="74">
        <v>31</v>
      </c>
      <c r="AE43" s="75">
        <v>27</v>
      </c>
      <c r="AF43" s="229">
        <f t="shared" si="16"/>
        <v>-0.12903225806451613</v>
      </c>
      <c r="AG43" s="230">
        <f t="shared" si="17"/>
        <v>-0.25</v>
      </c>
      <c r="AH43" s="231">
        <f t="shared" si="18"/>
        <v>0.8</v>
      </c>
      <c r="AI43" s="125">
        <f t="shared" si="19"/>
        <v>29</v>
      </c>
    </row>
    <row r="44" spans="1:169" ht="12" x14ac:dyDescent="0.2">
      <c r="A44" s="415" t="s">
        <v>148</v>
      </c>
      <c r="B44" s="73"/>
      <c r="C44" s="73"/>
      <c r="D44" s="73"/>
      <c r="E44" s="73"/>
      <c r="F44" s="73"/>
      <c r="G44" s="73"/>
      <c r="H44" s="5"/>
      <c r="I44" s="5"/>
      <c r="J44" s="73"/>
      <c r="K44" s="73"/>
      <c r="L44" s="73"/>
      <c r="M44" s="73"/>
      <c r="N44" s="5"/>
      <c r="O44" s="266"/>
      <c r="P44" s="266"/>
      <c r="Q44" s="318"/>
      <c r="R44" s="318"/>
      <c r="S44" s="352"/>
      <c r="T44" s="318">
        <v>0</v>
      </c>
      <c r="U44" s="592"/>
      <c r="V44" s="276"/>
      <c r="W44" s="74">
        <v>0</v>
      </c>
      <c r="X44" s="5">
        <v>0</v>
      </c>
      <c r="Y44" s="5">
        <v>0</v>
      </c>
      <c r="Z44" s="593"/>
      <c r="AA44" s="594"/>
      <c r="AB44" s="594"/>
      <c r="AC44" s="594"/>
      <c r="AD44" s="74">
        <v>4</v>
      </c>
      <c r="AE44" s="75">
        <v>9</v>
      </c>
      <c r="AF44" s="229">
        <f t="shared" si="16"/>
        <v>1.25</v>
      </c>
      <c r="AG44" s="230"/>
      <c r="AH44" s="231"/>
      <c r="AI44" s="125" t="str">
        <f t="shared" si="19"/>
        <v xml:space="preserve">  </v>
      </c>
    </row>
    <row r="45" spans="1:169" ht="12" x14ac:dyDescent="0.2">
      <c r="A45" s="416" t="s">
        <v>54</v>
      </c>
      <c r="B45" s="77"/>
      <c r="C45" s="77"/>
      <c r="D45" s="77"/>
      <c r="E45" s="77"/>
      <c r="F45" s="77"/>
      <c r="G45" s="77">
        <v>0</v>
      </c>
      <c r="H45" s="7"/>
      <c r="I45" s="7"/>
      <c r="J45" s="77"/>
      <c r="K45" s="77"/>
      <c r="L45" s="77"/>
      <c r="M45" s="77">
        <v>0</v>
      </c>
      <c r="N45" s="7">
        <v>0</v>
      </c>
      <c r="O45" s="267">
        <v>0</v>
      </c>
      <c r="P45" s="267">
        <v>0</v>
      </c>
      <c r="Q45" s="319">
        <v>1</v>
      </c>
      <c r="R45" s="319">
        <v>1</v>
      </c>
      <c r="S45" s="353">
        <v>2</v>
      </c>
      <c r="T45" s="319">
        <v>10</v>
      </c>
      <c r="U45" s="319">
        <f>4+2</f>
        <v>6</v>
      </c>
      <c r="V45" s="277">
        <v>19</v>
      </c>
      <c r="W45" s="78">
        <f>4+2</f>
        <v>6</v>
      </c>
      <c r="X45" s="7">
        <v>7</v>
      </c>
      <c r="Y45" s="7">
        <v>11</v>
      </c>
      <c r="Z45" s="78">
        <v>9</v>
      </c>
      <c r="AA45" s="78">
        <v>17</v>
      </c>
      <c r="AB45" s="78">
        <v>10</v>
      </c>
      <c r="AC45" s="78">
        <v>16</v>
      </c>
      <c r="AD45" s="78">
        <v>6</v>
      </c>
      <c r="AE45" s="79">
        <v>14</v>
      </c>
      <c r="AF45" s="232" t="str">
        <f t="shared" si="16"/>
        <v xml:space="preserve"> </v>
      </c>
      <c r="AG45" s="233" t="str">
        <f t="shared" si="17"/>
        <v xml:space="preserve"> </v>
      </c>
      <c r="AH45" s="234" t="str">
        <f t="shared" si="18"/>
        <v xml:space="preserve"> </v>
      </c>
      <c r="AI45" s="246">
        <f t="shared" si="19"/>
        <v>12</v>
      </c>
    </row>
    <row r="46" spans="1:169" ht="12" hidden="1" x14ac:dyDescent="0.2">
      <c r="A46" s="415" t="s">
        <v>151</v>
      </c>
      <c r="B46" s="73">
        <v>6</v>
      </c>
      <c r="C46" s="73">
        <v>8</v>
      </c>
      <c r="D46" s="73">
        <v>12</v>
      </c>
      <c r="E46" s="73">
        <v>21</v>
      </c>
      <c r="F46" s="73">
        <v>15</v>
      </c>
      <c r="G46" s="73">
        <v>6</v>
      </c>
      <c r="H46" s="5">
        <v>13</v>
      </c>
      <c r="I46" s="5">
        <v>12</v>
      </c>
      <c r="J46" s="73">
        <v>10</v>
      </c>
      <c r="K46" s="73">
        <v>8</v>
      </c>
      <c r="L46" s="73">
        <v>10</v>
      </c>
      <c r="M46" s="73">
        <v>7</v>
      </c>
      <c r="N46" s="5">
        <v>4</v>
      </c>
      <c r="O46" s="266">
        <v>8</v>
      </c>
      <c r="P46" s="266">
        <v>5</v>
      </c>
      <c r="Q46" s="318">
        <v>2</v>
      </c>
      <c r="R46" s="318">
        <v>2</v>
      </c>
      <c r="S46" s="352">
        <v>0</v>
      </c>
      <c r="T46" s="318">
        <v>1</v>
      </c>
      <c r="U46" s="318">
        <v>0</v>
      </c>
      <c r="V46" s="276">
        <v>0</v>
      </c>
      <c r="W46" s="74">
        <v>1</v>
      </c>
      <c r="X46" s="5">
        <v>0</v>
      </c>
      <c r="Y46" s="5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5">
        <v>0</v>
      </c>
      <c r="AF46" s="229" t="str">
        <f t="shared" si="16"/>
        <v xml:space="preserve"> </v>
      </c>
      <c r="AG46" s="230" t="str">
        <f t="shared" si="17"/>
        <v xml:space="preserve"> </v>
      </c>
      <c r="AH46" s="231" t="str">
        <f t="shared" si="18"/>
        <v xml:space="preserve"> </v>
      </c>
      <c r="AI46" s="125" t="str">
        <f t="shared" si="19"/>
        <v xml:space="preserve">  </v>
      </c>
    </row>
    <row r="47" spans="1:169" ht="12" x14ac:dyDescent="0.2">
      <c r="A47" s="415" t="s">
        <v>14</v>
      </c>
      <c r="B47" s="73">
        <v>14</v>
      </c>
      <c r="C47" s="73">
        <v>31</v>
      </c>
      <c r="D47" s="73">
        <v>26</v>
      </c>
      <c r="E47" s="73">
        <v>22</v>
      </c>
      <c r="F47" s="73">
        <v>22</v>
      </c>
      <c r="G47" s="73">
        <v>22</v>
      </c>
      <c r="H47" s="5">
        <v>17</v>
      </c>
      <c r="I47" s="5">
        <v>22</v>
      </c>
      <c r="J47" s="73">
        <v>28</v>
      </c>
      <c r="K47" s="73">
        <v>13</v>
      </c>
      <c r="L47" s="73">
        <v>32</v>
      </c>
      <c r="M47" s="73">
        <v>20</v>
      </c>
      <c r="N47" s="5">
        <v>20</v>
      </c>
      <c r="O47" s="266">
        <v>34</v>
      </c>
      <c r="P47" s="266">
        <v>35</v>
      </c>
      <c r="Q47" s="318">
        <v>37</v>
      </c>
      <c r="R47" s="318">
        <f>28+1</f>
        <v>29</v>
      </c>
      <c r="S47" s="352">
        <f>31+1</f>
        <v>32</v>
      </c>
      <c r="T47" s="318">
        <v>30</v>
      </c>
      <c r="U47" s="318">
        <v>28</v>
      </c>
      <c r="V47" s="276">
        <v>38</v>
      </c>
      <c r="W47" s="74">
        <v>23</v>
      </c>
      <c r="X47" s="5">
        <v>35</v>
      </c>
      <c r="Y47" s="5">
        <v>31</v>
      </c>
      <c r="Z47" s="74">
        <v>30</v>
      </c>
      <c r="AA47" s="74">
        <v>25</v>
      </c>
      <c r="AB47" s="74">
        <v>23</v>
      </c>
      <c r="AC47" s="74">
        <v>15</v>
      </c>
      <c r="AD47" s="74">
        <v>15</v>
      </c>
      <c r="AE47" s="75">
        <v>15</v>
      </c>
      <c r="AF47" s="229" t="str">
        <f t="shared" si="16"/>
        <v xml:space="preserve"> </v>
      </c>
      <c r="AG47" s="230" t="str">
        <f t="shared" si="17"/>
        <v xml:space="preserve"> </v>
      </c>
      <c r="AH47" s="231" t="str">
        <f t="shared" si="18"/>
        <v xml:space="preserve"> </v>
      </c>
      <c r="AI47" s="125">
        <f t="shared" si="19"/>
        <v>15</v>
      </c>
    </row>
    <row r="48" spans="1:169" ht="12" x14ac:dyDescent="0.2">
      <c r="A48" s="415" t="s">
        <v>149</v>
      </c>
      <c r="B48" s="73"/>
      <c r="C48" s="73"/>
      <c r="D48" s="73"/>
      <c r="E48" s="73"/>
      <c r="F48" s="73"/>
      <c r="G48" s="73"/>
      <c r="H48" s="5"/>
      <c r="I48" s="5"/>
      <c r="J48" s="73"/>
      <c r="K48" s="73"/>
      <c r="L48" s="73"/>
      <c r="M48" s="73"/>
      <c r="N48" s="5"/>
      <c r="O48" s="266"/>
      <c r="P48" s="266"/>
      <c r="Q48" s="318"/>
      <c r="R48" s="318">
        <v>0</v>
      </c>
      <c r="S48" s="352"/>
      <c r="T48" s="318">
        <v>0</v>
      </c>
      <c r="U48" s="592"/>
      <c r="V48" s="276"/>
      <c r="W48" s="74">
        <v>0</v>
      </c>
      <c r="X48" s="5">
        <v>0</v>
      </c>
      <c r="Y48" s="5">
        <v>0</v>
      </c>
      <c r="Z48" s="593"/>
      <c r="AA48" s="594"/>
      <c r="AB48" s="74">
        <v>1</v>
      </c>
      <c r="AC48" s="74">
        <v>1</v>
      </c>
      <c r="AD48" s="74">
        <v>8</v>
      </c>
      <c r="AE48" s="75">
        <v>6</v>
      </c>
      <c r="AF48" s="229" t="str">
        <f t="shared" si="16"/>
        <v xml:space="preserve"> </v>
      </c>
      <c r="AG48" s="230" t="str">
        <f t="shared" si="17"/>
        <v xml:space="preserve"> </v>
      </c>
      <c r="AH48" s="231" t="str">
        <f t="shared" si="18"/>
        <v xml:space="preserve"> </v>
      </c>
      <c r="AI48" s="125">
        <f t="shared" si="19"/>
        <v>5</v>
      </c>
    </row>
    <row r="49" spans="1:169" ht="12" x14ac:dyDescent="0.2">
      <c r="A49" s="417" t="s">
        <v>19</v>
      </c>
      <c r="B49" s="73">
        <v>21</v>
      </c>
      <c r="C49" s="73">
        <v>21</v>
      </c>
      <c r="D49" s="73">
        <v>24</v>
      </c>
      <c r="E49" s="73">
        <v>22</v>
      </c>
      <c r="F49" s="73">
        <v>21</v>
      </c>
      <c r="G49" s="73">
        <v>16</v>
      </c>
      <c r="H49" s="5">
        <v>27</v>
      </c>
      <c r="I49" s="5">
        <v>12</v>
      </c>
      <c r="J49" s="73">
        <v>22</v>
      </c>
      <c r="K49" s="73">
        <v>24</v>
      </c>
      <c r="L49" s="73">
        <v>22</v>
      </c>
      <c r="M49" s="73">
        <v>22</v>
      </c>
      <c r="N49" s="5">
        <v>24</v>
      </c>
      <c r="O49" s="266">
        <v>28</v>
      </c>
      <c r="P49" s="266">
        <v>14</v>
      </c>
      <c r="Q49" s="318">
        <v>19</v>
      </c>
      <c r="R49" s="318">
        <f>23+4</f>
        <v>27</v>
      </c>
      <c r="S49" s="352">
        <f>24+2</f>
        <v>26</v>
      </c>
      <c r="T49" s="318">
        <v>26</v>
      </c>
      <c r="U49" s="318">
        <f>30+1</f>
        <v>31</v>
      </c>
      <c r="V49" s="276">
        <v>33</v>
      </c>
      <c r="W49" s="74">
        <f>32+1</f>
        <v>33</v>
      </c>
      <c r="X49" s="5">
        <v>31</v>
      </c>
      <c r="Y49" s="5">
        <v>26</v>
      </c>
      <c r="Z49" s="74">
        <v>27</v>
      </c>
      <c r="AA49" s="74">
        <v>21</v>
      </c>
      <c r="AB49" s="74">
        <v>36</v>
      </c>
      <c r="AC49" s="74">
        <v>21</v>
      </c>
      <c r="AD49" s="74">
        <v>21</v>
      </c>
      <c r="AE49" s="75">
        <v>14</v>
      </c>
      <c r="AF49" s="229" t="str">
        <f t="shared" si="16"/>
        <v xml:space="preserve"> </v>
      </c>
      <c r="AG49" s="230" t="str">
        <f t="shared" si="17"/>
        <v xml:space="preserve"> </v>
      </c>
      <c r="AH49" s="231" t="str">
        <f t="shared" si="18"/>
        <v xml:space="preserve"> </v>
      </c>
      <c r="AI49" s="125">
        <f t="shared" si="19"/>
        <v>18.666666666666668</v>
      </c>
    </row>
    <row r="50" spans="1:169" ht="12" x14ac:dyDescent="0.2">
      <c r="A50" s="417" t="s">
        <v>23</v>
      </c>
      <c r="B50" s="73">
        <v>1</v>
      </c>
      <c r="C50" s="73">
        <v>5</v>
      </c>
      <c r="D50" s="73">
        <v>8</v>
      </c>
      <c r="E50" s="73">
        <v>5</v>
      </c>
      <c r="F50" s="73">
        <v>4</v>
      </c>
      <c r="G50" s="73">
        <v>9</v>
      </c>
      <c r="H50" s="5">
        <v>5</v>
      </c>
      <c r="I50" s="5">
        <v>8</v>
      </c>
      <c r="J50" s="73">
        <v>13</v>
      </c>
      <c r="K50" s="73">
        <v>8</v>
      </c>
      <c r="L50" s="73">
        <v>4</v>
      </c>
      <c r="M50" s="73">
        <v>12</v>
      </c>
      <c r="N50" s="5">
        <v>8</v>
      </c>
      <c r="O50" s="266">
        <v>13</v>
      </c>
      <c r="P50" s="266">
        <v>6</v>
      </c>
      <c r="Q50" s="318">
        <v>8</v>
      </c>
      <c r="R50" s="318">
        <v>7</v>
      </c>
      <c r="S50" s="352">
        <v>5</v>
      </c>
      <c r="T50" s="318">
        <v>11</v>
      </c>
      <c r="U50" s="318">
        <v>9</v>
      </c>
      <c r="V50" s="276">
        <v>12</v>
      </c>
      <c r="W50" s="74">
        <v>21</v>
      </c>
      <c r="X50" s="5">
        <v>18</v>
      </c>
      <c r="Y50" s="5">
        <v>30</v>
      </c>
      <c r="Z50" s="74">
        <v>12</v>
      </c>
      <c r="AA50" s="74">
        <v>20</v>
      </c>
      <c r="AB50" s="74">
        <v>14</v>
      </c>
      <c r="AC50" s="74">
        <v>9</v>
      </c>
      <c r="AD50" s="74">
        <v>8</v>
      </c>
      <c r="AE50" s="75">
        <v>5</v>
      </c>
      <c r="AF50" s="229" t="str">
        <f t="shared" si="16"/>
        <v xml:space="preserve"> </v>
      </c>
      <c r="AG50" s="230" t="str">
        <f t="shared" si="17"/>
        <v xml:space="preserve"> </v>
      </c>
      <c r="AH50" s="231" t="str">
        <f t="shared" si="18"/>
        <v xml:space="preserve"> </v>
      </c>
      <c r="AI50" s="125">
        <f t="shared" si="19"/>
        <v>7.333333333333333</v>
      </c>
    </row>
    <row r="51" spans="1:169" ht="13.5" hidden="1" x14ac:dyDescent="0.2">
      <c r="A51" s="417" t="s">
        <v>125</v>
      </c>
      <c r="B51" s="73">
        <v>8</v>
      </c>
      <c r="C51" s="73">
        <v>2</v>
      </c>
      <c r="D51" s="73"/>
      <c r="E51" s="73">
        <v>2</v>
      </c>
      <c r="F51" s="73">
        <v>0</v>
      </c>
      <c r="G51" s="73">
        <v>0</v>
      </c>
      <c r="H51" s="5">
        <v>0</v>
      </c>
      <c r="I51" s="5">
        <v>0</v>
      </c>
      <c r="J51" s="73">
        <v>0</v>
      </c>
      <c r="K51" s="73">
        <v>0</v>
      </c>
      <c r="L51" s="73">
        <v>0</v>
      </c>
      <c r="M51" s="73">
        <v>0</v>
      </c>
      <c r="N51" s="5">
        <v>0</v>
      </c>
      <c r="O51" s="266"/>
      <c r="P51" s="266"/>
      <c r="Q51" s="318"/>
      <c r="R51" s="318"/>
      <c r="S51" s="352"/>
      <c r="T51" s="318"/>
      <c r="U51" s="318"/>
      <c r="V51" s="276"/>
      <c r="W51" s="74"/>
      <c r="X51" s="5"/>
      <c r="Y51" s="5"/>
      <c r="Z51" s="74"/>
      <c r="AA51" s="74"/>
      <c r="AB51" s="74"/>
      <c r="AC51" s="74"/>
      <c r="AD51" s="74"/>
      <c r="AE51" s="75"/>
      <c r="AF51" s="229" t="str">
        <f t="shared" si="16"/>
        <v xml:space="preserve"> </v>
      </c>
      <c r="AG51" s="230" t="str">
        <f t="shared" si="17"/>
        <v xml:space="preserve"> </v>
      </c>
      <c r="AH51" s="231" t="str">
        <f t="shared" si="18"/>
        <v xml:space="preserve"> </v>
      </c>
      <c r="AI51" s="125" t="str">
        <f t="shared" si="19"/>
        <v xml:space="preserve">  </v>
      </c>
    </row>
    <row r="52" spans="1:169" ht="12" x14ac:dyDescent="0.2">
      <c r="A52" s="418" t="s">
        <v>150</v>
      </c>
      <c r="B52" s="110"/>
      <c r="C52" s="110"/>
      <c r="D52" s="110"/>
      <c r="E52" s="110"/>
      <c r="F52" s="110"/>
      <c r="G52" s="110"/>
      <c r="H52" s="94"/>
      <c r="I52" s="94"/>
      <c r="J52" s="110"/>
      <c r="K52" s="110"/>
      <c r="L52" s="110"/>
      <c r="M52" s="110"/>
      <c r="N52" s="94"/>
      <c r="O52" s="274"/>
      <c r="P52" s="274">
        <v>0</v>
      </c>
      <c r="Q52" s="327"/>
      <c r="R52" s="327">
        <v>0</v>
      </c>
      <c r="S52" s="357"/>
      <c r="T52" s="327">
        <v>0</v>
      </c>
      <c r="U52" s="592"/>
      <c r="V52" s="282">
        <v>0</v>
      </c>
      <c r="W52" s="83">
        <v>0</v>
      </c>
      <c r="X52" s="94">
        <v>0</v>
      </c>
      <c r="Y52" s="94">
        <v>0</v>
      </c>
      <c r="Z52" s="83">
        <v>1</v>
      </c>
      <c r="AA52" s="83">
        <v>6</v>
      </c>
      <c r="AB52" s="83">
        <v>1</v>
      </c>
      <c r="AC52" s="83">
        <v>6</v>
      </c>
      <c r="AD52" s="83">
        <v>5</v>
      </c>
      <c r="AE52" s="82">
        <v>2</v>
      </c>
      <c r="AF52" s="557" t="str">
        <f t="shared" si="16"/>
        <v xml:space="preserve"> </v>
      </c>
      <c r="AG52" s="558" t="str">
        <f t="shared" si="17"/>
        <v xml:space="preserve"> </v>
      </c>
      <c r="AH52" s="559" t="str">
        <f t="shared" si="18"/>
        <v xml:space="preserve"> </v>
      </c>
      <c r="AI52" s="553">
        <f t="shared" si="19"/>
        <v>4.333333333333333</v>
      </c>
    </row>
    <row r="53" spans="1:169" s="17" customFormat="1" ht="12.75" thickBot="1" x14ac:dyDescent="0.25">
      <c r="A53" s="419" t="s">
        <v>77</v>
      </c>
      <c r="B53" s="111">
        <f t="shared" ref="B53" si="20">SUM(B40:B51)</f>
        <v>139</v>
      </c>
      <c r="C53" s="111">
        <f t="shared" ref="C53:O53" si="21">SUM(C41:C51)</f>
        <v>153</v>
      </c>
      <c r="D53" s="111">
        <f t="shared" si="21"/>
        <v>183</v>
      </c>
      <c r="E53" s="111">
        <f t="shared" si="21"/>
        <v>214</v>
      </c>
      <c r="F53" s="111">
        <f t="shared" si="21"/>
        <v>179</v>
      </c>
      <c r="G53" s="111">
        <f t="shared" si="21"/>
        <v>151</v>
      </c>
      <c r="H53" s="111">
        <f t="shared" si="21"/>
        <v>168</v>
      </c>
      <c r="I53" s="111">
        <f t="shared" si="21"/>
        <v>167</v>
      </c>
      <c r="J53" s="111">
        <f t="shared" si="21"/>
        <v>193</v>
      </c>
      <c r="K53" s="111">
        <f t="shared" si="21"/>
        <v>146</v>
      </c>
      <c r="L53" s="111">
        <f t="shared" si="21"/>
        <v>177</v>
      </c>
      <c r="M53" s="111">
        <f t="shared" si="21"/>
        <v>169</v>
      </c>
      <c r="N53" s="111">
        <f t="shared" si="21"/>
        <v>166</v>
      </c>
      <c r="O53" s="275">
        <f t="shared" si="21"/>
        <v>192</v>
      </c>
      <c r="P53" s="294">
        <f t="shared" ref="P53" si="22">SUM(P41:P52)</f>
        <v>171</v>
      </c>
      <c r="Q53" s="328">
        <f t="shared" ref="Q53" si="23">SUM(Q41:Q52)</f>
        <v>180</v>
      </c>
      <c r="R53" s="328">
        <f>SUM(R41:R52)</f>
        <v>200</v>
      </c>
      <c r="S53" s="328">
        <f>SUM(S41:S52)</f>
        <v>189</v>
      </c>
      <c r="T53" s="328">
        <f>SUM(T41:T52)</f>
        <v>206</v>
      </c>
      <c r="U53" s="328">
        <f>SUM(U41:U52)</f>
        <v>213</v>
      </c>
      <c r="V53" s="182">
        <f t="shared" ref="V53:X53" si="24">SUM(V41:V52)</f>
        <v>262</v>
      </c>
      <c r="W53" s="111">
        <f>SUM(W41:W52)</f>
        <v>248</v>
      </c>
      <c r="X53" s="111">
        <f t="shared" si="24"/>
        <v>245</v>
      </c>
      <c r="Y53" s="111">
        <f t="shared" ref="Y53:AE53" si="25">SUM(Y41:Y52)</f>
        <v>256</v>
      </c>
      <c r="Z53" s="111">
        <f t="shared" si="25"/>
        <v>239</v>
      </c>
      <c r="AA53" s="111">
        <f t="shared" si="25"/>
        <v>254</v>
      </c>
      <c r="AB53" s="111">
        <f t="shared" si="25"/>
        <v>216</v>
      </c>
      <c r="AC53" s="111">
        <f t="shared" si="25"/>
        <v>202</v>
      </c>
      <c r="AD53" s="111">
        <f t="shared" ref="AD53" si="26">SUM(AD41:AD52)</f>
        <v>175</v>
      </c>
      <c r="AE53" s="111">
        <f t="shared" si="25"/>
        <v>183</v>
      </c>
      <c r="AF53" s="200">
        <f>IF(AE53=0," ",IF(AI53&gt;20,(AE53-AD53)/AD53," "))</f>
        <v>4.5714285714285714E-2</v>
      </c>
      <c r="AG53" s="112">
        <f t="shared" si="17"/>
        <v>-0.23430962343096234</v>
      </c>
      <c r="AH53" s="113">
        <f t="shared" si="18"/>
        <v>-0.14084507042253522</v>
      </c>
      <c r="AI53" s="201">
        <f t="shared" si="19"/>
        <v>186.66666666666666</v>
      </c>
      <c r="AJ53" s="89"/>
      <c r="AK53" s="91"/>
      <c r="AL53" s="91"/>
      <c r="AM53" s="91"/>
      <c r="AN53" s="91"/>
      <c r="AO53" s="91"/>
      <c r="AP53" s="91"/>
      <c r="AQ53" s="91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</row>
    <row r="54" spans="1:169" s="17" customFormat="1" ht="12.75" thickTop="1" x14ac:dyDescent="0.2">
      <c r="A54" s="420" t="s">
        <v>78</v>
      </c>
      <c r="B54" s="25"/>
      <c r="C54" s="26"/>
      <c r="D54" s="26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7"/>
      <c r="P54" s="27"/>
      <c r="Q54" s="27"/>
      <c r="R54" s="27"/>
      <c r="S54" s="27"/>
      <c r="T54" s="27"/>
      <c r="U54" s="27"/>
      <c r="V54" s="27"/>
      <c r="W54" s="27"/>
      <c r="X54" s="28"/>
      <c r="Y54" s="28"/>
      <c r="Z54" s="28"/>
      <c r="AA54" s="28"/>
      <c r="AB54" s="28"/>
      <c r="AC54" s="28"/>
      <c r="AD54" s="28"/>
      <c r="AE54" s="28"/>
      <c r="AF54" s="28"/>
      <c r="AG54" s="29"/>
      <c r="AH54" s="29"/>
      <c r="AI54" s="217"/>
      <c r="AJ54" s="89"/>
      <c r="AK54" s="91"/>
      <c r="AL54" s="91"/>
      <c r="AM54" s="91"/>
      <c r="AN54" s="91"/>
      <c r="AO54" s="91"/>
      <c r="AP54" s="91"/>
      <c r="AQ54" s="91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</row>
    <row r="55" spans="1:169" ht="12" x14ac:dyDescent="0.2">
      <c r="A55" s="555" t="s">
        <v>0</v>
      </c>
      <c r="B55" s="100">
        <v>62</v>
      </c>
      <c r="C55" s="100">
        <v>49</v>
      </c>
      <c r="D55" s="100">
        <v>55</v>
      </c>
      <c r="E55" s="100">
        <v>60</v>
      </c>
      <c r="F55" s="100">
        <v>42</v>
      </c>
      <c r="G55" s="100">
        <v>26</v>
      </c>
      <c r="H55" s="93">
        <v>46</v>
      </c>
      <c r="I55" s="93">
        <v>30</v>
      </c>
      <c r="J55" s="100">
        <v>25</v>
      </c>
      <c r="K55" s="100">
        <v>32</v>
      </c>
      <c r="L55" s="100">
        <v>34</v>
      </c>
      <c r="M55" s="100">
        <v>40</v>
      </c>
      <c r="N55" s="93">
        <v>38</v>
      </c>
      <c r="O55" s="265">
        <v>30</v>
      </c>
      <c r="P55" s="265">
        <v>61</v>
      </c>
      <c r="Q55" s="324">
        <v>60</v>
      </c>
      <c r="R55" s="324">
        <v>53</v>
      </c>
      <c r="S55" s="351">
        <f>46+1</f>
        <v>47</v>
      </c>
      <c r="T55" s="324">
        <v>44</v>
      </c>
      <c r="U55" s="324">
        <f>56+1</f>
        <v>57</v>
      </c>
      <c r="V55" s="280">
        <v>53</v>
      </c>
      <c r="W55" s="92">
        <f>66+3</f>
        <v>69</v>
      </c>
      <c r="X55" s="93">
        <v>81</v>
      </c>
      <c r="Y55" s="93">
        <v>60</v>
      </c>
      <c r="Z55" s="92">
        <v>40</v>
      </c>
      <c r="AA55" s="92">
        <v>63</v>
      </c>
      <c r="AB55" s="92">
        <v>46</v>
      </c>
      <c r="AC55" s="92">
        <v>37</v>
      </c>
      <c r="AD55" s="92">
        <v>41</v>
      </c>
      <c r="AE55" s="101">
        <v>35</v>
      </c>
      <c r="AF55" s="345">
        <f t="shared" ref="AF55:AF63" si="27">IF(AE55=0," ",IF(AI55&gt;20,(AE55-AD55)/AD55," "))</f>
        <v>-0.14634146341463414</v>
      </c>
      <c r="AG55" s="346">
        <f t="shared" ref="AG55:AG64" si="28">IF(AE55=0," ",IF(AI55&gt;20,(AE55-Z55)/Z55," "))</f>
        <v>-0.125</v>
      </c>
      <c r="AH55" s="347">
        <f t="shared" ref="AH55:AH64" si="29">IF(AE55=0," ",(IF(AI55&gt;20,(AE55-U55)/U55," ")))</f>
        <v>-0.38596491228070173</v>
      </c>
      <c r="AI55" s="247">
        <f t="shared" ref="AI55:AI64" si="30">IF(AC55&gt;0,AVERAGE(AC55:AE55),"  ")</f>
        <v>37.666666666666664</v>
      </c>
    </row>
    <row r="56" spans="1:169" ht="12" x14ac:dyDescent="0.2">
      <c r="A56" s="408" t="s">
        <v>181</v>
      </c>
      <c r="B56" s="73">
        <v>117</v>
      </c>
      <c r="C56" s="73">
        <v>114</v>
      </c>
      <c r="D56" s="73">
        <v>129</v>
      </c>
      <c r="E56" s="73">
        <v>134</v>
      </c>
      <c r="F56" s="73">
        <v>153</v>
      </c>
      <c r="G56" s="73">
        <v>141</v>
      </c>
      <c r="H56" s="5">
        <v>181</v>
      </c>
      <c r="I56" s="5">
        <v>171</v>
      </c>
      <c r="J56" s="73">
        <v>168</v>
      </c>
      <c r="K56" s="73">
        <v>100</v>
      </c>
      <c r="L56" s="73">
        <v>29</v>
      </c>
      <c r="M56" s="73">
        <v>16</v>
      </c>
      <c r="N56" s="5">
        <v>10</v>
      </c>
      <c r="O56" s="266">
        <v>14</v>
      </c>
      <c r="P56" s="266">
        <v>26</v>
      </c>
      <c r="Q56" s="318">
        <v>26</v>
      </c>
      <c r="R56" s="318">
        <v>20</v>
      </c>
      <c r="S56" s="352">
        <f>23+1</f>
        <v>24</v>
      </c>
      <c r="T56" s="318">
        <v>18</v>
      </c>
      <c r="U56" s="318">
        <v>21</v>
      </c>
      <c r="V56" s="276">
        <v>10</v>
      </c>
      <c r="W56" s="74">
        <v>12</v>
      </c>
      <c r="X56" s="5">
        <v>1</v>
      </c>
      <c r="Y56" s="5">
        <v>0</v>
      </c>
      <c r="Z56" s="593"/>
      <c r="AA56" s="594"/>
      <c r="AB56" s="594"/>
      <c r="AC56" s="594"/>
      <c r="AD56" s="594"/>
      <c r="AE56" s="595"/>
      <c r="AF56" s="229" t="str">
        <f t="shared" si="27"/>
        <v xml:space="preserve"> </v>
      </c>
      <c r="AG56" s="230" t="str">
        <f t="shared" si="28"/>
        <v xml:space="preserve"> </v>
      </c>
      <c r="AH56" s="231" t="str">
        <f t="shared" si="29"/>
        <v xml:space="preserve"> </v>
      </c>
      <c r="AI56" s="125" t="str">
        <f t="shared" si="30"/>
        <v xml:space="preserve">  </v>
      </c>
    </row>
    <row r="57" spans="1:169" ht="12" x14ac:dyDescent="0.2">
      <c r="A57" s="421" t="s">
        <v>153</v>
      </c>
      <c r="B57" s="73"/>
      <c r="C57" s="73"/>
      <c r="D57" s="73"/>
      <c r="E57" s="73"/>
      <c r="F57" s="73"/>
      <c r="G57" s="73"/>
      <c r="H57" s="5"/>
      <c r="I57" s="5"/>
      <c r="J57" s="73"/>
      <c r="K57" s="73"/>
      <c r="L57" s="73"/>
      <c r="M57" s="73"/>
      <c r="N57" s="5"/>
      <c r="O57" s="266"/>
      <c r="P57" s="266"/>
      <c r="Q57" s="318"/>
      <c r="R57" s="318">
        <v>0</v>
      </c>
      <c r="S57" s="352"/>
      <c r="T57" s="318">
        <v>0</v>
      </c>
      <c r="U57" s="592"/>
      <c r="V57" s="276">
        <v>2</v>
      </c>
      <c r="W57" s="74">
        <v>3</v>
      </c>
      <c r="X57" s="5">
        <v>8</v>
      </c>
      <c r="Y57" s="5">
        <v>10</v>
      </c>
      <c r="Z57" s="74">
        <v>13</v>
      </c>
      <c r="AA57" s="74">
        <v>8</v>
      </c>
      <c r="AB57" s="74">
        <v>5</v>
      </c>
      <c r="AC57" s="74">
        <v>5</v>
      </c>
      <c r="AD57" s="74">
        <v>4</v>
      </c>
      <c r="AE57" s="75">
        <v>7</v>
      </c>
      <c r="AF57" s="229" t="str">
        <f t="shared" si="27"/>
        <v xml:space="preserve"> </v>
      </c>
      <c r="AG57" s="230" t="str">
        <f t="shared" si="28"/>
        <v xml:space="preserve"> </v>
      </c>
      <c r="AH57" s="231" t="str">
        <f t="shared" si="29"/>
        <v xml:space="preserve"> </v>
      </c>
      <c r="AI57" s="125">
        <f t="shared" si="30"/>
        <v>5.333333333333333</v>
      </c>
    </row>
    <row r="58" spans="1:169" ht="12" x14ac:dyDescent="0.2">
      <c r="A58" s="408" t="s">
        <v>7</v>
      </c>
      <c r="B58" s="73">
        <v>8</v>
      </c>
      <c r="C58" s="73">
        <v>14</v>
      </c>
      <c r="D58" s="73">
        <v>6</v>
      </c>
      <c r="E58" s="73">
        <v>14</v>
      </c>
      <c r="F58" s="73">
        <v>1</v>
      </c>
      <c r="G58" s="73">
        <v>6</v>
      </c>
      <c r="H58" s="5">
        <v>11</v>
      </c>
      <c r="I58" s="5">
        <v>2</v>
      </c>
      <c r="J58" s="73">
        <v>2</v>
      </c>
      <c r="K58" s="73">
        <v>3</v>
      </c>
      <c r="L58" s="73">
        <v>8</v>
      </c>
      <c r="M58" s="73">
        <v>8</v>
      </c>
      <c r="N58" s="5">
        <v>5</v>
      </c>
      <c r="O58" s="266">
        <v>10</v>
      </c>
      <c r="P58" s="266">
        <v>6</v>
      </c>
      <c r="Q58" s="318">
        <v>16</v>
      </c>
      <c r="R58" s="318">
        <f>10+2</f>
        <v>12</v>
      </c>
      <c r="S58" s="352">
        <v>17</v>
      </c>
      <c r="T58" s="318">
        <v>13</v>
      </c>
      <c r="U58" s="318">
        <v>15</v>
      </c>
      <c r="V58" s="276">
        <v>20</v>
      </c>
      <c r="W58" s="74">
        <f>11+3</f>
        <v>14</v>
      </c>
      <c r="X58" s="5">
        <v>18</v>
      </c>
      <c r="Y58" s="5">
        <v>26</v>
      </c>
      <c r="Z58" s="74">
        <v>10</v>
      </c>
      <c r="AA58" s="74">
        <v>22</v>
      </c>
      <c r="AB58" s="74">
        <v>18</v>
      </c>
      <c r="AC58" s="74">
        <v>8</v>
      </c>
      <c r="AD58" s="74">
        <v>14</v>
      </c>
      <c r="AE58" s="75">
        <v>8</v>
      </c>
      <c r="AF58" s="229" t="str">
        <f t="shared" si="27"/>
        <v xml:space="preserve"> </v>
      </c>
      <c r="AG58" s="230" t="str">
        <f t="shared" si="28"/>
        <v xml:space="preserve"> </v>
      </c>
      <c r="AH58" s="231" t="str">
        <f t="shared" si="29"/>
        <v xml:space="preserve"> </v>
      </c>
      <c r="AI58" s="125">
        <f t="shared" si="30"/>
        <v>10</v>
      </c>
    </row>
    <row r="59" spans="1:169" ht="12" x14ac:dyDescent="0.2">
      <c r="A59" s="410" t="s">
        <v>12</v>
      </c>
      <c r="B59" s="77"/>
      <c r="C59" s="77"/>
      <c r="D59" s="77"/>
      <c r="E59" s="77"/>
      <c r="F59" s="77"/>
      <c r="G59" s="77"/>
      <c r="H59" s="7"/>
      <c r="I59" s="7"/>
      <c r="J59" s="77">
        <v>23</v>
      </c>
      <c r="K59" s="77">
        <v>28</v>
      </c>
      <c r="L59" s="77">
        <v>42</v>
      </c>
      <c r="M59" s="77">
        <v>59</v>
      </c>
      <c r="N59" s="7">
        <v>66</v>
      </c>
      <c r="O59" s="267">
        <v>61</v>
      </c>
      <c r="P59" s="267">
        <v>90</v>
      </c>
      <c r="Q59" s="319">
        <v>90</v>
      </c>
      <c r="R59" s="319">
        <f>48+7</f>
        <v>55</v>
      </c>
      <c r="S59" s="353">
        <f>58+5</f>
        <v>63</v>
      </c>
      <c r="T59" s="319">
        <v>43</v>
      </c>
      <c r="U59" s="319">
        <f>48+6</f>
        <v>54</v>
      </c>
      <c r="V59" s="277">
        <v>46</v>
      </c>
      <c r="W59" s="78">
        <f>49+3</f>
        <v>52</v>
      </c>
      <c r="X59" s="7">
        <v>75</v>
      </c>
      <c r="Y59" s="7">
        <v>56</v>
      </c>
      <c r="Z59" s="78">
        <v>66</v>
      </c>
      <c r="AA59" s="78">
        <v>56</v>
      </c>
      <c r="AB59" s="78">
        <v>64</v>
      </c>
      <c r="AC59" s="78">
        <v>55</v>
      </c>
      <c r="AD59" s="78">
        <v>44</v>
      </c>
      <c r="AE59" s="79">
        <v>48</v>
      </c>
      <c r="AF59" s="232">
        <f t="shared" si="27"/>
        <v>9.0909090909090912E-2</v>
      </c>
      <c r="AG59" s="233">
        <f t="shared" si="28"/>
        <v>-0.27272727272727271</v>
      </c>
      <c r="AH59" s="234">
        <f t="shared" si="29"/>
        <v>-0.1111111111111111</v>
      </c>
      <c r="AI59" s="246">
        <f t="shared" si="30"/>
        <v>49</v>
      </c>
    </row>
    <row r="60" spans="1:169" ht="12" x14ac:dyDescent="0.2">
      <c r="A60" s="408" t="s">
        <v>63</v>
      </c>
      <c r="B60" s="73">
        <v>22</v>
      </c>
      <c r="C60" s="73">
        <v>16</v>
      </c>
      <c r="D60" s="73">
        <v>22</v>
      </c>
      <c r="E60" s="73">
        <v>38</v>
      </c>
      <c r="F60" s="73">
        <v>36</v>
      </c>
      <c r="G60" s="73">
        <v>33</v>
      </c>
      <c r="H60" s="5">
        <v>56</v>
      </c>
      <c r="I60" s="5">
        <v>69</v>
      </c>
      <c r="J60" s="73">
        <v>65</v>
      </c>
      <c r="K60" s="73">
        <v>36</v>
      </c>
      <c r="L60" s="73">
        <v>38</v>
      </c>
      <c r="M60" s="73">
        <v>25</v>
      </c>
      <c r="N60" s="5">
        <v>25</v>
      </c>
      <c r="O60" s="266">
        <v>29</v>
      </c>
      <c r="P60" s="266">
        <v>21</v>
      </c>
      <c r="Q60" s="318">
        <v>27</v>
      </c>
      <c r="R60" s="318">
        <f>32+3</f>
        <v>35</v>
      </c>
      <c r="S60" s="352">
        <f>49+5</f>
        <v>54</v>
      </c>
      <c r="T60" s="318">
        <v>64</v>
      </c>
      <c r="U60" s="318">
        <f>56+8</f>
        <v>64</v>
      </c>
      <c r="V60" s="276">
        <v>67</v>
      </c>
      <c r="W60" s="74">
        <f>38+16</f>
        <v>54</v>
      </c>
      <c r="X60" s="5">
        <v>59</v>
      </c>
      <c r="Y60" s="5">
        <v>56</v>
      </c>
      <c r="Z60" s="74">
        <v>68</v>
      </c>
      <c r="AA60" s="74">
        <v>51</v>
      </c>
      <c r="AB60" s="74">
        <v>66</v>
      </c>
      <c r="AC60" s="74">
        <v>48</v>
      </c>
      <c r="AD60" s="74">
        <v>55</v>
      </c>
      <c r="AE60" s="75">
        <v>57</v>
      </c>
      <c r="AF60" s="229">
        <f t="shared" si="27"/>
        <v>3.6363636363636362E-2</v>
      </c>
      <c r="AG60" s="230">
        <f t="shared" si="28"/>
        <v>-0.16176470588235295</v>
      </c>
      <c r="AH60" s="231">
        <f t="shared" si="29"/>
        <v>-0.109375</v>
      </c>
      <c r="AI60" s="125">
        <f t="shared" si="30"/>
        <v>53.333333333333336</v>
      </c>
    </row>
    <row r="61" spans="1:169" ht="12" x14ac:dyDescent="0.2">
      <c r="A61" s="412" t="s">
        <v>152</v>
      </c>
      <c r="B61" s="73"/>
      <c r="C61" s="73"/>
      <c r="D61" s="73"/>
      <c r="E61" s="73"/>
      <c r="F61" s="73"/>
      <c r="G61" s="73"/>
      <c r="H61" s="5"/>
      <c r="I61" s="5"/>
      <c r="J61" s="73"/>
      <c r="K61" s="73"/>
      <c r="L61" s="73"/>
      <c r="M61" s="73"/>
      <c r="N61" s="5"/>
      <c r="O61" s="266"/>
      <c r="P61" s="266"/>
      <c r="Q61" s="318"/>
      <c r="R61" s="318">
        <v>0</v>
      </c>
      <c r="S61" s="352"/>
      <c r="T61" s="318">
        <v>0</v>
      </c>
      <c r="U61" s="592"/>
      <c r="V61" s="276"/>
      <c r="W61" s="74">
        <v>2</v>
      </c>
      <c r="X61" s="5">
        <v>5</v>
      </c>
      <c r="Y61" s="5">
        <v>1</v>
      </c>
      <c r="Z61" s="74">
        <v>3</v>
      </c>
      <c r="AA61" s="74">
        <v>3</v>
      </c>
      <c r="AB61" s="74">
        <v>2</v>
      </c>
      <c r="AC61" s="74">
        <v>2</v>
      </c>
      <c r="AD61" s="74">
        <v>9</v>
      </c>
      <c r="AE61" s="75">
        <v>11</v>
      </c>
      <c r="AF61" s="229" t="str">
        <f t="shared" si="27"/>
        <v xml:space="preserve"> </v>
      </c>
      <c r="AG61" s="230" t="str">
        <f t="shared" si="28"/>
        <v xml:space="preserve"> </v>
      </c>
      <c r="AH61" s="231" t="str">
        <f t="shared" si="29"/>
        <v xml:space="preserve"> </v>
      </c>
      <c r="AI61" s="125">
        <f t="shared" si="30"/>
        <v>7.333333333333333</v>
      </c>
    </row>
    <row r="62" spans="1:169" ht="12" x14ac:dyDescent="0.2">
      <c r="A62" s="408" t="s">
        <v>17</v>
      </c>
      <c r="B62" s="73"/>
      <c r="C62" s="73"/>
      <c r="D62" s="73"/>
      <c r="E62" s="73"/>
      <c r="F62" s="73"/>
      <c r="G62" s="73"/>
      <c r="H62" s="5"/>
      <c r="I62" s="5"/>
      <c r="J62" s="73">
        <v>1</v>
      </c>
      <c r="K62" s="73">
        <v>20</v>
      </c>
      <c r="L62" s="73">
        <v>54</v>
      </c>
      <c r="M62" s="73">
        <v>91</v>
      </c>
      <c r="N62" s="5">
        <v>95</v>
      </c>
      <c r="O62" s="266">
        <v>91</v>
      </c>
      <c r="P62" s="266">
        <v>102</v>
      </c>
      <c r="Q62" s="318">
        <v>103</v>
      </c>
      <c r="R62" s="318">
        <f>101+4</f>
        <v>105</v>
      </c>
      <c r="S62" s="352">
        <f>95+3</f>
        <v>98</v>
      </c>
      <c r="T62" s="318">
        <v>89</v>
      </c>
      <c r="U62" s="318">
        <f>95+4</f>
        <v>99</v>
      </c>
      <c r="V62" s="276">
        <v>108</v>
      </c>
      <c r="W62" s="74">
        <v>109</v>
      </c>
      <c r="X62" s="5">
        <v>98</v>
      </c>
      <c r="Y62" s="5">
        <v>94</v>
      </c>
      <c r="Z62" s="74">
        <v>101</v>
      </c>
      <c r="AA62" s="74">
        <v>96</v>
      </c>
      <c r="AB62" s="74">
        <v>94</v>
      </c>
      <c r="AC62" s="74">
        <v>74</v>
      </c>
      <c r="AD62" s="74">
        <v>92</v>
      </c>
      <c r="AE62" s="75">
        <v>97</v>
      </c>
      <c r="AF62" s="229">
        <f t="shared" si="27"/>
        <v>5.434782608695652E-2</v>
      </c>
      <c r="AG62" s="230">
        <f t="shared" si="28"/>
        <v>-3.9603960396039604E-2</v>
      </c>
      <c r="AH62" s="231">
        <f t="shared" si="29"/>
        <v>-2.0202020202020204E-2</v>
      </c>
      <c r="AI62" s="125">
        <f t="shared" si="30"/>
        <v>87.666666666666671</v>
      </c>
    </row>
    <row r="63" spans="1:169" ht="12" x14ac:dyDescent="0.2">
      <c r="A63" s="583" t="s">
        <v>18</v>
      </c>
      <c r="B63" s="110"/>
      <c r="C63" s="110"/>
      <c r="D63" s="110"/>
      <c r="E63" s="110"/>
      <c r="F63" s="110"/>
      <c r="G63" s="110"/>
      <c r="H63" s="94"/>
      <c r="I63" s="94"/>
      <c r="J63" s="110">
        <v>11</v>
      </c>
      <c r="K63" s="110">
        <v>37</v>
      </c>
      <c r="L63" s="110">
        <v>61</v>
      </c>
      <c r="M63" s="110">
        <v>54</v>
      </c>
      <c r="N63" s="94">
        <v>68</v>
      </c>
      <c r="O63" s="274">
        <v>100</v>
      </c>
      <c r="P63" s="274">
        <v>93</v>
      </c>
      <c r="Q63" s="327">
        <v>72</v>
      </c>
      <c r="R63" s="327">
        <f>47+3</f>
        <v>50</v>
      </c>
      <c r="S63" s="357">
        <f>51+2</f>
        <v>53</v>
      </c>
      <c r="T63" s="327">
        <v>57</v>
      </c>
      <c r="U63" s="327">
        <f>45+3</f>
        <v>48</v>
      </c>
      <c r="V63" s="282">
        <v>70</v>
      </c>
      <c r="W63" s="83">
        <v>72</v>
      </c>
      <c r="X63" s="94">
        <v>78</v>
      </c>
      <c r="Y63" s="94">
        <v>81</v>
      </c>
      <c r="Z63" s="83">
        <v>79</v>
      </c>
      <c r="AA63" s="83">
        <v>85</v>
      </c>
      <c r="AB63" s="83">
        <v>107</v>
      </c>
      <c r="AC63" s="83">
        <v>67</v>
      </c>
      <c r="AD63" s="83">
        <v>86</v>
      </c>
      <c r="AE63" s="82">
        <v>60</v>
      </c>
      <c r="AF63" s="557">
        <f t="shared" si="27"/>
        <v>-0.30232558139534882</v>
      </c>
      <c r="AG63" s="558">
        <f t="shared" si="28"/>
        <v>-0.24050632911392406</v>
      </c>
      <c r="AH63" s="559">
        <f t="shared" si="29"/>
        <v>0.25</v>
      </c>
      <c r="AI63" s="553">
        <f t="shared" si="30"/>
        <v>71</v>
      </c>
    </row>
    <row r="64" spans="1:169" s="17" customFormat="1" ht="12.75" thickBot="1" x14ac:dyDescent="0.25">
      <c r="A64" s="422" t="s">
        <v>79</v>
      </c>
      <c r="B64" s="208">
        <f t="shared" ref="B64:X64" si="31">SUM(B55:B63)</f>
        <v>209</v>
      </c>
      <c r="C64" s="208">
        <f t="shared" si="31"/>
        <v>193</v>
      </c>
      <c r="D64" s="208">
        <f t="shared" si="31"/>
        <v>212</v>
      </c>
      <c r="E64" s="208">
        <f t="shared" si="31"/>
        <v>246</v>
      </c>
      <c r="F64" s="208">
        <f t="shared" si="31"/>
        <v>232</v>
      </c>
      <c r="G64" s="208">
        <f t="shared" si="31"/>
        <v>206</v>
      </c>
      <c r="H64" s="208">
        <f t="shared" si="31"/>
        <v>294</v>
      </c>
      <c r="I64" s="208">
        <f t="shared" si="31"/>
        <v>272</v>
      </c>
      <c r="J64" s="208">
        <f t="shared" si="31"/>
        <v>295</v>
      </c>
      <c r="K64" s="208">
        <f t="shared" si="31"/>
        <v>256</v>
      </c>
      <c r="L64" s="208">
        <f t="shared" si="31"/>
        <v>266</v>
      </c>
      <c r="M64" s="208">
        <f t="shared" si="31"/>
        <v>293</v>
      </c>
      <c r="N64" s="208">
        <f t="shared" si="31"/>
        <v>307</v>
      </c>
      <c r="O64" s="283">
        <f t="shared" si="31"/>
        <v>335</v>
      </c>
      <c r="P64" s="283">
        <f t="shared" si="31"/>
        <v>399</v>
      </c>
      <c r="Q64" s="329">
        <f t="shared" si="31"/>
        <v>394</v>
      </c>
      <c r="R64" s="329">
        <f>SUM(R55:R63)</f>
        <v>330</v>
      </c>
      <c r="S64" s="329">
        <f t="shared" si="31"/>
        <v>356</v>
      </c>
      <c r="T64" s="329">
        <f t="shared" si="31"/>
        <v>328</v>
      </c>
      <c r="U64" s="329">
        <f t="shared" si="31"/>
        <v>358</v>
      </c>
      <c r="V64" s="209">
        <f t="shared" si="31"/>
        <v>376</v>
      </c>
      <c r="W64" s="208">
        <f t="shared" si="31"/>
        <v>387</v>
      </c>
      <c r="X64" s="208">
        <f t="shared" si="31"/>
        <v>423</v>
      </c>
      <c r="Y64" s="208">
        <f t="shared" ref="Y64:AE64" si="32">SUM(Y55:Y63)</f>
        <v>384</v>
      </c>
      <c r="Z64" s="208">
        <f t="shared" si="32"/>
        <v>380</v>
      </c>
      <c r="AA64" s="208">
        <f t="shared" si="32"/>
        <v>384</v>
      </c>
      <c r="AB64" s="208">
        <f t="shared" si="32"/>
        <v>402</v>
      </c>
      <c r="AC64" s="208">
        <f t="shared" si="32"/>
        <v>296</v>
      </c>
      <c r="AD64" s="208">
        <f t="shared" ref="AD64" si="33">SUM(AD55:AD63)</f>
        <v>345</v>
      </c>
      <c r="AE64" s="208">
        <f t="shared" si="32"/>
        <v>323</v>
      </c>
      <c r="AF64" s="210">
        <f>IF(AE64=0," ",IF(AI64&gt;20,(AE64-AD64)/AD64," "))</f>
        <v>-6.3768115942028983E-2</v>
      </c>
      <c r="AG64" s="211">
        <f t="shared" si="28"/>
        <v>-0.15</v>
      </c>
      <c r="AH64" s="212">
        <f t="shared" si="29"/>
        <v>-9.7765363128491614E-2</v>
      </c>
      <c r="AI64" s="213">
        <f t="shared" si="30"/>
        <v>321.33333333333331</v>
      </c>
      <c r="AJ64" s="89"/>
      <c r="AK64" s="91"/>
      <c r="AL64" s="91"/>
      <c r="AM64" s="91"/>
      <c r="AN64" s="91"/>
      <c r="AO64" s="91"/>
      <c r="AP64" s="91"/>
      <c r="AQ64" s="91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</row>
    <row r="65" spans="1:178" ht="12.75" thickTop="1" x14ac:dyDescent="0.2">
      <c r="A65" s="423" t="s">
        <v>80</v>
      </c>
      <c r="B65" s="202"/>
      <c r="C65" s="203"/>
      <c r="D65" s="203"/>
      <c r="E65" s="202"/>
      <c r="F65" s="204"/>
      <c r="G65" s="204"/>
      <c r="H65" s="204"/>
      <c r="I65" s="202"/>
      <c r="J65" s="202"/>
      <c r="K65" s="202"/>
      <c r="L65" s="202"/>
      <c r="M65" s="202"/>
      <c r="N65" s="202"/>
      <c r="O65" s="205"/>
      <c r="P65" s="286"/>
      <c r="Q65" s="205"/>
      <c r="R65" s="205"/>
      <c r="S65" s="205"/>
      <c r="T65" s="205"/>
      <c r="U65" s="205"/>
      <c r="V65" s="205"/>
      <c r="W65" s="205"/>
      <c r="X65" s="206"/>
      <c r="Y65" s="206"/>
      <c r="Z65" s="206"/>
      <c r="AA65" s="206"/>
      <c r="AB65" s="206"/>
      <c r="AC65" s="206"/>
      <c r="AD65" s="206"/>
      <c r="AE65" s="206"/>
      <c r="AF65" s="206"/>
      <c r="AG65" s="207"/>
      <c r="AH65" s="207"/>
      <c r="AI65" s="218"/>
      <c r="AJ65" s="90"/>
      <c r="AK65" s="95"/>
      <c r="AL65" s="95"/>
      <c r="AM65" s="95"/>
      <c r="AN65" s="95"/>
      <c r="AO65" s="95"/>
      <c r="AP65" s="95"/>
      <c r="AQ65" s="95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</row>
    <row r="66" spans="1:178" ht="12" x14ac:dyDescent="0.2">
      <c r="A66" s="555" t="s">
        <v>8</v>
      </c>
      <c r="B66" s="100"/>
      <c r="C66" s="100">
        <v>0</v>
      </c>
      <c r="D66" s="100"/>
      <c r="E66" s="100">
        <v>0</v>
      </c>
      <c r="F66" s="100">
        <v>0</v>
      </c>
      <c r="G66" s="100">
        <v>0</v>
      </c>
      <c r="H66" s="93">
        <v>0</v>
      </c>
      <c r="I66" s="93">
        <v>0</v>
      </c>
      <c r="J66" s="100">
        <v>0</v>
      </c>
      <c r="K66" s="100">
        <v>0</v>
      </c>
      <c r="L66" s="100">
        <v>12</v>
      </c>
      <c r="M66" s="100">
        <v>22</v>
      </c>
      <c r="N66" s="93">
        <v>28</v>
      </c>
      <c r="O66" s="265">
        <v>34</v>
      </c>
      <c r="P66" s="265">
        <v>43</v>
      </c>
      <c r="Q66" s="324">
        <v>36</v>
      </c>
      <c r="R66" s="324">
        <f>43+2</f>
        <v>45</v>
      </c>
      <c r="S66" s="351">
        <v>39</v>
      </c>
      <c r="T66" s="324">
        <v>56</v>
      </c>
      <c r="U66" s="324">
        <f>70+1</f>
        <v>71</v>
      </c>
      <c r="V66" s="280">
        <v>42</v>
      </c>
      <c r="W66" s="92">
        <f>55+2</f>
        <v>57</v>
      </c>
      <c r="X66" s="93">
        <v>59</v>
      </c>
      <c r="Y66" s="93">
        <v>48</v>
      </c>
      <c r="Z66" s="92">
        <v>39</v>
      </c>
      <c r="AA66" s="92">
        <v>48</v>
      </c>
      <c r="AB66" s="92">
        <v>58</v>
      </c>
      <c r="AC66" s="92">
        <v>49</v>
      </c>
      <c r="AD66" s="92">
        <v>56</v>
      </c>
      <c r="AE66" s="101">
        <v>36</v>
      </c>
      <c r="AF66" s="114">
        <f t="shared" ref="AF66:AF72" si="34">IF(AE66=0," ",IF(AI66&gt;20,(AE66-AD66)/AD66," "))</f>
        <v>-0.35714285714285715</v>
      </c>
      <c r="AG66" s="235">
        <f t="shared" ref="AG66:AG72" si="35">IF(AE66=0," ",IF(AI66&gt;20,(AE66-Z66)/Z66," "))</f>
        <v>-7.6923076923076927E-2</v>
      </c>
      <c r="AH66" s="236">
        <f t="shared" ref="AH66:AH72" si="36">IF(AE66=0," ",(IF(AI66&gt;20,(AE66-U66)/U66," ")))</f>
        <v>-0.49295774647887325</v>
      </c>
      <c r="AI66" s="247">
        <f t="shared" ref="AI66:AI72" si="37">IF(AC66&gt;0,AVERAGE(AC66:AE66),"  ")</f>
        <v>47</v>
      </c>
    </row>
    <row r="67" spans="1:178" ht="12" x14ac:dyDescent="0.2">
      <c r="A67" s="408" t="s">
        <v>9</v>
      </c>
      <c r="B67" s="73">
        <v>163</v>
      </c>
      <c r="C67" s="73">
        <v>161</v>
      </c>
      <c r="D67" s="73">
        <v>185</v>
      </c>
      <c r="E67" s="73">
        <v>160</v>
      </c>
      <c r="F67" s="73">
        <v>167</v>
      </c>
      <c r="G67" s="73">
        <v>137</v>
      </c>
      <c r="H67" s="5">
        <v>168</v>
      </c>
      <c r="I67" s="5">
        <v>169</v>
      </c>
      <c r="J67" s="73">
        <v>194</v>
      </c>
      <c r="K67" s="73">
        <v>145</v>
      </c>
      <c r="L67" s="73">
        <v>108</v>
      </c>
      <c r="M67" s="73">
        <v>129</v>
      </c>
      <c r="N67" s="5">
        <v>113</v>
      </c>
      <c r="O67" s="266">
        <v>98</v>
      </c>
      <c r="P67" s="266">
        <v>97</v>
      </c>
      <c r="Q67" s="318">
        <v>93</v>
      </c>
      <c r="R67" s="318">
        <f>96+4</f>
        <v>100</v>
      </c>
      <c r="S67" s="352">
        <f>113+3</f>
        <v>116</v>
      </c>
      <c r="T67" s="318">
        <v>117</v>
      </c>
      <c r="U67" s="318">
        <f>115+9</f>
        <v>124</v>
      </c>
      <c r="V67" s="276">
        <v>102</v>
      </c>
      <c r="W67" s="74">
        <v>122</v>
      </c>
      <c r="X67" s="5">
        <v>113</v>
      </c>
      <c r="Y67" s="5">
        <v>81</v>
      </c>
      <c r="Z67" s="74">
        <v>90</v>
      </c>
      <c r="AA67" s="74">
        <v>77</v>
      </c>
      <c r="AB67" s="74">
        <v>49</v>
      </c>
      <c r="AC67" s="74">
        <v>76</v>
      </c>
      <c r="AD67" s="74">
        <v>78</v>
      </c>
      <c r="AE67" s="75">
        <v>67</v>
      </c>
      <c r="AF67" s="229">
        <f t="shared" si="34"/>
        <v>-0.14102564102564102</v>
      </c>
      <c r="AG67" s="230">
        <f t="shared" si="35"/>
        <v>-0.25555555555555554</v>
      </c>
      <c r="AH67" s="231">
        <f t="shared" si="36"/>
        <v>-0.45967741935483869</v>
      </c>
      <c r="AI67" s="125">
        <f t="shared" si="37"/>
        <v>73.666666666666671</v>
      </c>
    </row>
    <row r="68" spans="1:178" ht="12" x14ac:dyDescent="0.2">
      <c r="A68" s="560" t="s">
        <v>174</v>
      </c>
      <c r="B68" s="77"/>
      <c r="C68" s="77"/>
      <c r="D68" s="77"/>
      <c r="E68" s="77"/>
      <c r="F68" s="77"/>
      <c r="G68" s="77"/>
      <c r="H68" s="7"/>
      <c r="I68" s="7"/>
      <c r="J68" s="77"/>
      <c r="K68" s="77"/>
      <c r="L68" s="77"/>
      <c r="M68" s="77"/>
      <c r="N68" s="7"/>
      <c r="O68" s="267"/>
      <c r="P68" s="267"/>
      <c r="Q68" s="319"/>
      <c r="R68" s="319"/>
      <c r="S68" s="353"/>
      <c r="T68" s="319"/>
      <c r="U68" s="319">
        <v>0</v>
      </c>
      <c r="V68" s="277"/>
      <c r="W68" s="78"/>
      <c r="X68" s="7"/>
      <c r="Y68" s="7"/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9">
        <v>3</v>
      </c>
      <c r="AF68" s="232"/>
      <c r="AG68" s="233"/>
      <c r="AH68" s="234"/>
      <c r="AI68" s="246" t="str">
        <f t="shared" ref="AI68" si="38">IF(AC68&gt;0,AVERAGE(AC68:AE68),"  ")</f>
        <v xml:space="preserve">  </v>
      </c>
    </row>
    <row r="69" spans="1:178" ht="12" x14ac:dyDescent="0.2">
      <c r="A69" s="408" t="s">
        <v>155</v>
      </c>
      <c r="B69" s="73">
        <v>0</v>
      </c>
      <c r="C69" s="73">
        <v>0</v>
      </c>
      <c r="D69" s="73"/>
      <c r="E69" s="73">
        <v>0</v>
      </c>
      <c r="F69" s="73">
        <v>0</v>
      </c>
      <c r="G69" s="73">
        <v>0</v>
      </c>
      <c r="H69" s="5">
        <v>0</v>
      </c>
      <c r="I69" s="5">
        <v>0</v>
      </c>
      <c r="J69" s="73">
        <v>0</v>
      </c>
      <c r="K69" s="73">
        <v>1</v>
      </c>
      <c r="L69" s="73">
        <v>7</v>
      </c>
      <c r="M69" s="73">
        <v>4</v>
      </c>
      <c r="N69" s="5">
        <v>2</v>
      </c>
      <c r="O69" s="266">
        <v>3</v>
      </c>
      <c r="P69" s="266">
        <v>5</v>
      </c>
      <c r="Q69" s="318">
        <v>4</v>
      </c>
      <c r="R69" s="318">
        <f>14+1</f>
        <v>15</v>
      </c>
      <c r="S69" s="352">
        <v>19</v>
      </c>
      <c r="T69" s="318">
        <v>22</v>
      </c>
      <c r="U69" s="318">
        <f>14+1</f>
        <v>15</v>
      </c>
      <c r="V69" s="276">
        <v>26</v>
      </c>
      <c r="W69" s="74">
        <f>26+1</f>
        <v>27</v>
      </c>
      <c r="X69" s="5">
        <v>12</v>
      </c>
      <c r="Y69" s="5">
        <v>1</v>
      </c>
      <c r="Z69" s="594"/>
      <c r="AA69" s="594"/>
      <c r="AB69" s="594"/>
      <c r="AC69" s="594"/>
      <c r="AD69" s="594"/>
      <c r="AE69" s="595"/>
      <c r="AF69" s="229" t="str">
        <f t="shared" si="34"/>
        <v xml:space="preserve"> </v>
      </c>
      <c r="AG69" s="230" t="str">
        <f t="shared" si="35"/>
        <v xml:space="preserve"> </v>
      </c>
      <c r="AH69" s="231" t="str">
        <f t="shared" si="36"/>
        <v xml:space="preserve"> </v>
      </c>
      <c r="AI69" s="125" t="str">
        <f t="shared" si="37"/>
        <v xml:space="preserve">  </v>
      </c>
    </row>
    <row r="70" spans="1:178" ht="12" x14ac:dyDescent="0.2">
      <c r="A70" s="408" t="s">
        <v>154</v>
      </c>
      <c r="B70" s="73"/>
      <c r="C70" s="73"/>
      <c r="D70" s="73"/>
      <c r="E70" s="73"/>
      <c r="F70" s="73"/>
      <c r="G70" s="73"/>
      <c r="H70" s="5"/>
      <c r="I70" s="5"/>
      <c r="J70" s="73"/>
      <c r="K70" s="73"/>
      <c r="L70" s="73"/>
      <c r="M70" s="73"/>
      <c r="N70" s="5"/>
      <c r="O70" s="266"/>
      <c r="P70" s="266"/>
      <c r="Q70" s="318"/>
      <c r="R70" s="318">
        <v>0</v>
      </c>
      <c r="S70" s="352"/>
      <c r="T70" s="318">
        <v>0</v>
      </c>
      <c r="U70" s="592"/>
      <c r="V70" s="276"/>
      <c r="W70" s="74">
        <v>0</v>
      </c>
      <c r="X70" s="5">
        <v>0</v>
      </c>
      <c r="Y70" s="5">
        <v>0</v>
      </c>
      <c r="Z70" s="593"/>
      <c r="AA70" s="74">
        <v>1</v>
      </c>
      <c r="AB70" s="74">
        <v>0</v>
      </c>
      <c r="AC70" s="74">
        <v>5</v>
      </c>
      <c r="AD70" s="74">
        <v>7</v>
      </c>
      <c r="AE70" s="75">
        <v>13</v>
      </c>
      <c r="AF70" s="229" t="str">
        <f t="shared" si="34"/>
        <v xml:space="preserve"> </v>
      </c>
      <c r="AG70" s="230" t="str">
        <f t="shared" si="35"/>
        <v xml:space="preserve"> </v>
      </c>
      <c r="AH70" s="231" t="str">
        <f t="shared" si="36"/>
        <v xml:space="preserve"> </v>
      </c>
      <c r="AI70" s="125">
        <f t="shared" si="37"/>
        <v>8.3333333333333339</v>
      </c>
    </row>
    <row r="71" spans="1:178" ht="12" x14ac:dyDescent="0.2">
      <c r="A71" s="556" t="s">
        <v>22</v>
      </c>
      <c r="B71" s="110">
        <v>38</v>
      </c>
      <c r="C71" s="110">
        <v>48</v>
      </c>
      <c r="D71" s="110">
        <v>68</v>
      </c>
      <c r="E71" s="110">
        <v>56</v>
      </c>
      <c r="F71" s="110">
        <v>52</v>
      </c>
      <c r="G71" s="110">
        <v>63</v>
      </c>
      <c r="H71" s="94">
        <v>62</v>
      </c>
      <c r="I71" s="94">
        <v>63</v>
      </c>
      <c r="J71" s="110">
        <v>37</v>
      </c>
      <c r="K71" s="110">
        <v>38</v>
      </c>
      <c r="L71" s="110">
        <v>34</v>
      </c>
      <c r="M71" s="110">
        <v>41</v>
      </c>
      <c r="N71" s="94">
        <v>43</v>
      </c>
      <c r="O71" s="274">
        <v>30</v>
      </c>
      <c r="P71" s="274">
        <v>28</v>
      </c>
      <c r="Q71" s="327">
        <v>37</v>
      </c>
      <c r="R71" s="327">
        <v>38</v>
      </c>
      <c r="S71" s="357">
        <v>29</v>
      </c>
      <c r="T71" s="327">
        <v>44</v>
      </c>
      <c r="U71" s="327">
        <v>40</v>
      </c>
      <c r="V71" s="282">
        <v>22</v>
      </c>
      <c r="W71" s="83">
        <v>21</v>
      </c>
      <c r="X71" s="94">
        <v>31</v>
      </c>
      <c r="Y71" s="94">
        <v>22</v>
      </c>
      <c r="Z71" s="83">
        <v>18</v>
      </c>
      <c r="AA71" s="83">
        <v>25</v>
      </c>
      <c r="AB71" s="83">
        <v>25</v>
      </c>
      <c r="AC71" s="83">
        <v>35</v>
      </c>
      <c r="AD71" s="83">
        <v>18</v>
      </c>
      <c r="AE71" s="82">
        <v>30</v>
      </c>
      <c r="AF71" s="557">
        <f t="shared" si="34"/>
        <v>0.66666666666666663</v>
      </c>
      <c r="AG71" s="558">
        <f t="shared" si="35"/>
        <v>0.66666666666666663</v>
      </c>
      <c r="AH71" s="559">
        <f t="shared" si="36"/>
        <v>-0.25</v>
      </c>
      <c r="AI71" s="553">
        <f t="shared" si="37"/>
        <v>27.666666666666668</v>
      </c>
    </row>
    <row r="72" spans="1:178" s="17" customFormat="1" ht="12.75" thickBot="1" x14ac:dyDescent="0.25">
      <c r="A72" s="424" t="s">
        <v>81</v>
      </c>
      <c r="B72" s="115">
        <f t="shared" ref="B72:AE72" si="39">SUM(B66:B71)</f>
        <v>201</v>
      </c>
      <c r="C72" s="115">
        <f t="shared" si="39"/>
        <v>209</v>
      </c>
      <c r="D72" s="115">
        <f t="shared" si="39"/>
        <v>253</v>
      </c>
      <c r="E72" s="115">
        <f t="shared" si="39"/>
        <v>216</v>
      </c>
      <c r="F72" s="115">
        <f t="shared" si="39"/>
        <v>219</v>
      </c>
      <c r="G72" s="115">
        <f t="shared" si="39"/>
        <v>200</v>
      </c>
      <c r="H72" s="115">
        <f t="shared" si="39"/>
        <v>230</v>
      </c>
      <c r="I72" s="115">
        <f t="shared" si="39"/>
        <v>232</v>
      </c>
      <c r="J72" s="115">
        <f t="shared" si="39"/>
        <v>231</v>
      </c>
      <c r="K72" s="115">
        <f t="shared" si="39"/>
        <v>184</v>
      </c>
      <c r="L72" s="115">
        <f t="shared" si="39"/>
        <v>161</v>
      </c>
      <c r="M72" s="115">
        <f t="shared" si="39"/>
        <v>196</v>
      </c>
      <c r="N72" s="115">
        <f t="shared" si="39"/>
        <v>186</v>
      </c>
      <c r="O72" s="284">
        <f t="shared" si="39"/>
        <v>165</v>
      </c>
      <c r="P72" s="284">
        <f t="shared" si="39"/>
        <v>173</v>
      </c>
      <c r="Q72" s="330">
        <f t="shared" si="39"/>
        <v>170</v>
      </c>
      <c r="R72" s="330">
        <f t="shared" si="39"/>
        <v>198</v>
      </c>
      <c r="S72" s="330">
        <f t="shared" si="39"/>
        <v>203</v>
      </c>
      <c r="T72" s="330">
        <f t="shared" si="39"/>
        <v>239</v>
      </c>
      <c r="U72" s="330">
        <f t="shared" si="39"/>
        <v>250</v>
      </c>
      <c r="V72" s="183">
        <f t="shared" si="39"/>
        <v>192</v>
      </c>
      <c r="W72" s="115">
        <f t="shared" si="39"/>
        <v>227</v>
      </c>
      <c r="X72" s="115">
        <f t="shared" si="39"/>
        <v>215</v>
      </c>
      <c r="Y72" s="115">
        <f t="shared" si="39"/>
        <v>152</v>
      </c>
      <c r="Z72" s="115">
        <f t="shared" si="39"/>
        <v>147</v>
      </c>
      <c r="AA72" s="115">
        <f t="shared" si="39"/>
        <v>151</v>
      </c>
      <c r="AB72" s="115">
        <f t="shared" si="39"/>
        <v>132</v>
      </c>
      <c r="AC72" s="115">
        <f t="shared" si="39"/>
        <v>165</v>
      </c>
      <c r="AD72" s="115">
        <f t="shared" si="39"/>
        <v>159</v>
      </c>
      <c r="AE72" s="115">
        <f t="shared" si="39"/>
        <v>149</v>
      </c>
      <c r="AF72" s="214">
        <f t="shared" si="34"/>
        <v>-6.2893081761006289E-2</v>
      </c>
      <c r="AG72" s="214">
        <f t="shared" si="35"/>
        <v>1.3605442176870748E-2</v>
      </c>
      <c r="AH72" s="214">
        <f t="shared" si="36"/>
        <v>-0.40400000000000003</v>
      </c>
      <c r="AI72" s="115">
        <f t="shared" si="37"/>
        <v>157.66666666666666</v>
      </c>
      <c r="AJ72" s="89"/>
      <c r="AK72" s="91"/>
      <c r="AL72" s="91"/>
      <c r="AM72" s="91"/>
      <c r="AN72" s="91"/>
      <c r="AO72" s="91"/>
      <c r="AP72" s="91"/>
      <c r="AQ72" s="91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</row>
    <row r="73" spans="1:178" ht="13.5" thickTop="1" thickBot="1" x14ac:dyDescent="0.25">
      <c r="A73" s="425" t="s">
        <v>82</v>
      </c>
      <c r="B73" s="31">
        <f t="shared" ref="B73:AD73" si="40">+B72+B64+B53+B39+B17</f>
        <v>1006</v>
      </c>
      <c r="C73" s="31">
        <f t="shared" si="40"/>
        <v>1073</v>
      </c>
      <c r="D73" s="31">
        <f t="shared" si="40"/>
        <v>1135</v>
      </c>
      <c r="E73" s="31">
        <f t="shared" si="40"/>
        <v>1185</v>
      </c>
      <c r="F73" s="31">
        <f t="shared" si="40"/>
        <v>1107</v>
      </c>
      <c r="G73" s="31">
        <f t="shared" si="40"/>
        <v>991</v>
      </c>
      <c r="H73" s="31">
        <f t="shared" si="40"/>
        <v>1216</v>
      </c>
      <c r="I73" s="31">
        <f t="shared" si="40"/>
        <v>1231</v>
      </c>
      <c r="J73" s="31">
        <f t="shared" si="40"/>
        <v>1352</v>
      </c>
      <c r="K73" s="31">
        <f t="shared" si="40"/>
        <v>1299</v>
      </c>
      <c r="L73" s="31">
        <f t="shared" si="40"/>
        <v>1313</v>
      </c>
      <c r="M73" s="31">
        <f t="shared" si="40"/>
        <v>1400</v>
      </c>
      <c r="N73" s="31">
        <f t="shared" si="40"/>
        <v>1439</v>
      </c>
      <c r="O73" s="285">
        <f t="shared" si="40"/>
        <v>1553</v>
      </c>
      <c r="P73" s="285">
        <f t="shared" si="40"/>
        <v>1608</v>
      </c>
      <c r="Q73" s="331">
        <f t="shared" si="40"/>
        <v>1661</v>
      </c>
      <c r="R73" s="331">
        <f t="shared" si="40"/>
        <v>1709</v>
      </c>
      <c r="S73" s="331">
        <f t="shared" si="40"/>
        <v>1787</v>
      </c>
      <c r="T73" s="331">
        <f t="shared" si="40"/>
        <v>1872</v>
      </c>
      <c r="U73" s="331">
        <f t="shared" si="40"/>
        <v>1899</v>
      </c>
      <c r="V73" s="184">
        <f t="shared" si="40"/>
        <v>1935</v>
      </c>
      <c r="W73" s="31">
        <f t="shared" si="40"/>
        <v>1967</v>
      </c>
      <c r="X73" s="31">
        <f t="shared" si="40"/>
        <v>2026</v>
      </c>
      <c r="Y73" s="31">
        <f t="shared" si="40"/>
        <v>1872</v>
      </c>
      <c r="Z73" s="31">
        <f t="shared" si="40"/>
        <v>1805</v>
      </c>
      <c r="AA73" s="31">
        <f t="shared" si="40"/>
        <v>1907</v>
      </c>
      <c r="AB73" s="31">
        <f t="shared" si="40"/>
        <v>1842</v>
      </c>
      <c r="AC73" s="31">
        <f t="shared" si="40"/>
        <v>1664</v>
      </c>
      <c r="AD73" s="31">
        <f t="shared" si="40"/>
        <v>1605</v>
      </c>
      <c r="AE73" s="31">
        <f>+AE72+AE64+AE53+AE39+AE17</f>
        <v>1468</v>
      </c>
      <c r="AF73" s="116">
        <f>IF(AE73=0," ",IF(AI73&gt;20,(AE73-AD73)/AD73," "))</f>
        <v>-8.5358255451713397E-2</v>
      </c>
      <c r="AG73" s="116">
        <f t="shared" ref="AG73" si="41">IF(AE73=0," ",IF(AI73&gt;20,(AE73-Y73)/Y73," "))</f>
        <v>-0.21581196581196582</v>
      </c>
      <c r="AH73" s="117">
        <f t="shared" ref="AH73" si="42">IF(AE73=0," ",(IF(AI73&gt;20,(AE73-T73)/T73," ")))</f>
        <v>-0.21581196581196582</v>
      </c>
      <c r="AI73" s="215">
        <f t="shared" ref="AI73" si="43">IF(AB73&gt;0,AVERAGE(AB73:AE73),"  ")</f>
        <v>1644.75</v>
      </c>
      <c r="AJ73" s="90"/>
      <c r="AK73" s="95"/>
      <c r="AL73" s="95"/>
      <c r="AM73" s="95"/>
      <c r="AN73" s="95"/>
      <c r="AO73" s="95"/>
      <c r="AP73" s="95"/>
      <c r="AQ73" s="95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</row>
    <row r="74" spans="1:178" ht="12.75" thickTop="1" x14ac:dyDescent="0.2">
      <c r="A74" s="426"/>
      <c r="B74" s="32"/>
      <c r="C74" s="32"/>
      <c r="D74" s="33"/>
      <c r="E74" s="33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79"/>
      <c r="Z74" s="179"/>
      <c r="AA74" s="179"/>
      <c r="AB74" s="179"/>
      <c r="AC74" s="179"/>
      <c r="AD74" s="179"/>
      <c r="AE74" s="179"/>
      <c r="AF74" s="179"/>
      <c r="AG74" s="34"/>
      <c r="AH74" s="32"/>
      <c r="AI74" s="35"/>
      <c r="AJ74" s="90"/>
      <c r="AK74" s="90"/>
      <c r="AL74" s="95"/>
      <c r="AM74" s="95"/>
      <c r="AN74" s="95"/>
      <c r="AO74" s="95"/>
      <c r="AP74" s="95"/>
      <c r="AQ74" s="95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</row>
    <row r="75" spans="1:178" ht="15" x14ac:dyDescent="0.25">
      <c r="A75" s="625" t="s">
        <v>122</v>
      </c>
      <c r="B75" s="625"/>
      <c r="C75" s="625"/>
      <c r="D75" s="625"/>
      <c r="E75" s="625"/>
      <c r="F75" s="625"/>
      <c r="G75" s="625"/>
      <c r="H75" s="625"/>
      <c r="I75" s="625"/>
      <c r="J75" s="625"/>
      <c r="K75" s="625"/>
      <c r="L75" s="625"/>
      <c r="M75" s="625"/>
      <c r="N75" s="625"/>
      <c r="O75" s="625"/>
      <c r="P75" s="625"/>
      <c r="Q75" s="625"/>
      <c r="R75" s="625"/>
      <c r="S75" s="625"/>
      <c r="T75" s="625"/>
      <c r="U75" s="625"/>
      <c r="V75" s="625"/>
      <c r="W75" s="625"/>
      <c r="X75" s="625"/>
      <c r="Y75" s="625"/>
      <c r="Z75" s="625"/>
      <c r="AA75" s="625"/>
      <c r="AB75" s="625"/>
      <c r="AC75" s="625"/>
      <c r="AD75" s="625"/>
      <c r="AE75" s="625"/>
      <c r="AF75" s="625"/>
      <c r="AG75" s="625"/>
      <c r="AH75" s="625"/>
      <c r="AI75" s="625"/>
    </row>
    <row r="76" spans="1:178" ht="15.75" x14ac:dyDescent="0.25">
      <c r="A76" s="427"/>
      <c r="B76" s="427"/>
      <c r="C76" s="427"/>
      <c r="D76" s="428"/>
      <c r="E76" s="428"/>
      <c r="F76" s="429"/>
      <c r="G76" s="428"/>
      <c r="H76" s="430"/>
      <c r="I76" s="430"/>
      <c r="J76" s="430"/>
      <c r="K76" s="430"/>
      <c r="L76" s="431"/>
      <c r="M76" s="430"/>
      <c r="N76" s="430"/>
      <c r="O76" s="430"/>
      <c r="P76" s="430"/>
      <c r="Q76" s="430"/>
      <c r="R76" s="430"/>
      <c r="S76" s="430"/>
      <c r="T76" s="430"/>
      <c r="U76" s="430"/>
      <c r="V76" s="430"/>
      <c r="W76" s="430"/>
      <c r="X76" s="430"/>
      <c r="Y76" s="428"/>
      <c r="Z76" s="428"/>
      <c r="AA76" s="428"/>
      <c r="AB76" s="428"/>
      <c r="AC76" s="428"/>
      <c r="AD76" s="428"/>
      <c r="AE76" s="428"/>
      <c r="AF76" s="428"/>
      <c r="AG76" s="432"/>
      <c r="AH76" s="36"/>
      <c r="AI76" s="37"/>
      <c r="AJ76" s="90"/>
      <c r="AK76" s="90"/>
      <c r="AL76" s="95"/>
      <c r="AM76" s="95"/>
      <c r="AN76" s="95"/>
      <c r="AO76" s="95"/>
      <c r="AP76" s="95"/>
      <c r="AQ76" s="95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</row>
    <row r="77" spans="1:178" ht="12" customHeight="1" x14ac:dyDescent="0.2">
      <c r="A77" s="608" t="s">
        <v>67</v>
      </c>
      <c r="B77" s="389"/>
      <c r="C77" s="390"/>
      <c r="D77" s="390"/>
      <c r="E77" s="389"/>
      <c r="F77" s="389"/>
      <c r="G77" s="390"/>
      <c r="H77" s="391"/>
      <c r="I77" s="391"/>
      <c r="J77" s="390"/>
      <c r="K77" s="392"/>
      <c r="L77" s="392"/>
      <c r="M77" s="392"/>
      <c r="N77" s="391"/>
      <c r="O77" s="393"/>
      <c r="P77" s="394"/>
      <c r="Q77" s="395"/>
      <c r="R77" s="395"/>
      <c r="S77" s="396"/>
      <c r="T77" s="395"/>
      <c r="U77" s="509" t="s">
        <v>156</v>
      </c>
      <c r="V77" s="397"/>
      <c r="W77" s="398"/>
      <c r="X77" s="399"/>
      <c r="Y77" s="399"/>
      <c r="Z77" s="500" t="s">
        <v>156</v>
      </c>
      <c r="AA77" s="500" t="s">
        <v>156</v>
      </c>
      <c r="AB77" s="500" t="s">
        <v>156</v>
      </c>
      <c r="AC77" s="500" t="s">
        <v>156</v>
      </c>
      <c r="AD77" s="500" t="s">
        <v>156</v>
      </c>
      <c r="AE77" s="502" t="s">
        <v>156</v>
      </c>
      <c r="AF77" s="619" t="s">
        <v>182</v>
      </c>
      <c r="AG77" s="621" t="s">
        <v>136</v>
      </c>
      <c r="AH77" s="619" t="s">
        <v>137</v>
      </c>
      <c r="AI77" s="623" t="s">
        <v>177</v>
      </c>
      <c r="AJ77" s="90"/>
      <c r="AK77" s="90"/>
      <c r="AL77" s="95"/>
      <c r="AM77" s="95"/>
      <c r="AN77" s="95"/>
      <c r="AO77" s="95"/>
      <c r="AP77" s="95"/>
      <c r="AQ77" s="95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</row>
    <row r="78" spans="1:178" ht="12.75" thickBot="1" x14ac:dyDescent="0.25">
      <c r="A78" s="609"/>
      <c r="B78" s="59" t="s">
        <v>84</v>
      </c>
      <c r="C78" s="60" t="s">
        <v>34</v>
      </c>
      <c r="D78" s="59" t="s">
        <v>40</v>
      </c>
      <c r="E78" s="60" t="s">
        <v>41</v>
      </c>
      <c r="F78" s="60" t="s">
        <v>42</v>
      </c>
      <c r="G78" s="59" t="s">
        <v>43</v>
      </c>
      <c r="H78" s="61" t="s">
        <v>44</v>
      </c>
      <c r="I78" s="62" t="s">
        <v>36</v>
      </c>
      <c r="J78" s="63" t="s">
        <v>37</v>
      </c>
      <c r="K78" s="63" t="s">
        <v>38</v>
      </c>
      <c r="L78" s="63" t="s">
        <v>39</v>
      </c>
      <c r="M78" s="63" t="s">
        <v>35</v>
      </c>
      <c r="N78" s="62" t="s">
        <v>45</v>
      </c>
      <c r="O78" s="264" t="s">
        <v>46</v>
      </c>
      <c r="P78" s="264" t="s">
        <v>49</v>
      </c>
      <c r="Q78" s="317" t="s">
        <v>52</v>
      </c>
      <c r="R78" s="317" t="s">
        <v>55</v>
      </c>
      <c r="S78" s="358" t="s">
        <v>56</v>
      </c>
      <c r="T78" s="368" t="s">
        <v>59</v>
      </c>
      <c r="U78" s="380" t="s">
        <v>60</v>
      </c>
      <c r="V78" s="348" t="s">
        <v>61</v>
      </c>
      <c r="W78" s="6" t="s">
        <v>62</v>
      </c>
      <c r="X78" s="64" t="s">
        <v>64</v>
      </c>
      <c r="Y78" s="64" t="s">
        <v>66</v>
      </c>
      <c r="Z78" s="6" t="s">
        <v>100</v>
      </c>
      <c r="AA78" s="6" t="s">
        <v>104</v>
      </c>
      <c r="AB78" s="6" t="s">
        <v>105</v>
      </c>
      <c r="AC78" s="6" t="s">
        <v>108</v>
      </c>
      <c r="AD78" s="6" t="s">
        <v>116</v>
      </c>
      <c r="AE78" s="65" t="s">
        <v>121</v>
      </c>
      <c r="AF78" s="620"/>
      <c r="AG78" s="622"/>
      <c r="AH78" s="620"/>
      <c r="AI78" s="624"/>
      <c r="AJ78" s="90"/>
      <c r="AK78" s="90"/>
      <c r="AL78" s="95"/>
      <c r="AM78" s="95"/>
      <c r="AN78" s="95"/>
      <c r="AO78" s="95"/>
      <c r="AP78" s="95"/>
      <c r="AQ78" s="95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</row>
    <row r="79" spans="1:178" ht="12.75" thickTop="1" x14ac:dyDescent="0.2">
      <c r="A79" s="433" t="s">
        <v>83</v>
      </c>
      <c r="B79" s="38"/>
      <c r="C79" s="38"/>
      <c r="D79" s="39"/>
      <c r="E79" s="39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1"/>
      <c r="AA79" s="41"/>
      <c r="AB79" s="41"/>
      <c r="AC79" s="41"/>
      <c r="AD79" s="41"/>
      <c r="AE79" s="41"/>
      <c r="AF79" s="41"/>
      <c r="AG79" s="41"/>
      <c r="AH79" s="40"/>
      <c r="AI79" s="42"/>
      <c r="AJ79" s="90"/>
      <c r="AK79" s="90"/>
      <c r="AL79" s="95"/>
      <c r="AM79" s="95"/>
      <c r="AN79" s="95"/>
      <c r="AO79" s="95"/>
      <c r="AP79" s="95"/>
      <c r="AQ79" s="95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</row>
    <row r="80" spans="1:178" ht="12" x14ac:dyDescent="0.2">
      <c r="A80" s="434" t="s">
        <v>69</v>
      </c>
      <c r="B80" s="43"/>
      <c r="C80" s="43"/>
      <c r="D80" s="44"/>
      <c r="E80" s="44"/>
      <c r="F80" s="43"/>
      <c r="G80" s="45"/>
      <c r="H80" s="45"/>
      <c r="I80" s="45"/>
      <c r="J80" s="43"/>
      <c r="K80" s="43"/>
      <c r="L80" s="43"/>
      <c r="M80" s="43"/>
      <c r="N80" s="43"/>
      <c r="O80" s="43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7"/>
      <c r="AA80" s="47"/>
      <c r="AB80" s="47"/>
      <c r="AC80" s="47"/>
      <c r="AD80" s="47"/>
      <c r="AE80" s="47"/>
      <c r="AF80" s="47"/>
      <c r="AG80" s="47"/>
      <c r="AH80" s="48"/>
      <c r="AI80" s="49"/>
      <c r="AJ80" s="90"/>
      <c r="AK80" s="90"/>
      <c r="AL80" s="95"/>
      <c r="AM80" s="95"/>
      <c r="AN80" s="95"/>
      <c r="AO80" s="95"/>
      <c r="AP80" s="95"/>
      <c r="AQ80" s="95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</row>
    <row r="81" spans="1:178" ht="12" x14ac:dyDescent="0.2">
      <c r="A81" s="435" t="s">
        <v>70</v>
      </c>
      <c r="B81" s="50"/>
      <c r="C81" s="50"/>
      <c r="D81" s="51"/>
      <c r="E81" s="51"/>
      <c r="F81" s="50"/>
      <c r="G81" s="52"/>
      <c r="H81" s="52"/>
      <c r="I81" s="52"/>
      <c r="J81" s="50"/>
      <c r="K81" s="50"/>
      <c r="L81" s="50"/>
      <c r="M81" s="50"/>
      <c r="N81" s="50"/>
      <c r="O81" s="50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4"/>
      <c r="AA81" s="54"/>
      <c r="AB81" s="54"/>
      <c r="AC81" s="54"/>
      <c r="AD81" s="54"/>
      <c r="AE81" s="54"/>
      <c r="AF81" s="54"/>
      <c r="AG81" s="54"/>
      <c r="AH81" s="55"/>
      <c r="AI81" s="56"/>
      <c r="AJ81" s="90"/>
      <c r="AK81" s="90"/>
      <c r="AL81" s="95"/>
      <c r="AM81" s="95"/>
      <c r="AN81" s="95"/>
      <c r="AO81" s="95"/>
      <c r="AP81" s="95"/>
      <c r="AQ81" s="95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</row>
    <row r="82" spans="1:178" ht="12" x14ac:dyDescent="0.2">
      <c r="A82" s="400" t="s">
        <v>157</v>
      </c>
      <c r="B82" s="100"/>
      <c r="C82" s="100"/>
      <c r="D82" s="100"/>
      <c r="E82" s="100"/>
      <c r="F82" s="100"/>
      <c r="G82" s="132"/>
      <c r="H82" s="93"/>
      <c r="I82" s="93"/>
      <c r="J82" s="133"/>
      <c r="K82" s="133"/>
      <c r="L82" s="133"/>
      <c r="M82" s="133"/>
      <c r="N82" s="93"/>
      <c r="O82" s="265"/>
      <c r="P82" s="265"/>
      <c r="Q82" s="336"/>
      <c r="R82" s="336">
        <v>0</v>
      </c>
      <c r="S82" s="351"/>
      <c r="T82" s="336">
        <v>0</v>
      </c>
      <c r="U82" s="588"/>
      <c r="V82" s="188"/>
      <c r="W82" s="134"/>
      <c r="X82" s="93"/>
      <c r="Y82" s="93">
        <v>3</v>
      </c>
      <c r="Z82" s="134">
        <v>3</v>
      </c>
      <c r="AA82" s="134">
        <v>9</v>
      </c>
      <c r="AB82" s="134">
        <v>2</v>
      </c>
      <c r="AC82" s="134">
        <v>6</v>
      </c>
      <c r="AD82" s="600"/>
      <c r="AE82" s="601"/>
      <c r="AF82" s="114" t="str">
        <f>IF(AE82=0," ",IF(AI82&gt;20,(AE82-AD82)/AD82," "))</f>
        <v xml:space="preserve"> </v>
      </c>
      <c r="AG82" s="235" t="str">
        <f>IF(AE82=0," ",IF(AI82&gt;20,(AE82-Z82)/Z82," "))</f>
        <v xml:space="preserve"> </v>
      </c>
      <c r="AH82" s="236" t="str">
        <f>IF(AE82=0," ",(IF(AI82&gt;20,(AE82-U82)/U82," ")))</f>
        <v xml:space="preserve"> </v>
      </c>
      <c r="AI82" s="247">
        <f>IF(AC82&gt;0,AVERAGE(AC82:AE82),"  ")</f>
        <v>6</v>
      </c>
      <c r="AJ82" s="90"/>
      <c r="AK82" s="90"/>
      <c r="AL82" s="95"/>
      <c r="AM82" s="95"/>
      <c r="AN82" s="95"/>
      <c r="AO82" s="95"/>
      <c r="AP82" s="95"/>
      <c r="AQ82" s="95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</row>
    <row r="83" spans="1:178" ht="12" x14ac:dyDescent="0.2">
      <c r="A83" s="518" t="s">
        <v>158</v>
      </c>
      <c r="B83" s="77"/>
      <c r="C83" s="77"/>
      <c r="D83" s="77"/>
      <c r="E83" s="77"/>
      <c r="F83" s="77"/>
      <c r="G83" s="519"/>
      <c r="H83" s="7"/>
      <c r="I83" s="7">
        <v>7</v>
      </c>
      <c r="J83" s="520">
        <v>5</v>
      </c>
      <c r="K83" s="520">
        <v>9</v>
      </c>
      <c r="L83" s="521">
        <v>4</v>
      </c>
      <c r="M83" s="520">
        <v>12</v>
      </c>
      <c r="N83" s="7">
        <v>8</v>
      </c>
      <c r="O83" s="267">
        <v>11</v>
      </c>
      <c r="P83" s="267">
        <v>7</v>
      </c>
      <c r="Q83" s="522">
        <v>20</v>
      </c>
      <c r="R83" s="522">
        <v>22</v>
      </c>
      <c r="S83" s="353">
        <v>14</v>
      </c>
      <c r="T83" s="522">
        <v>25</v>
      </c>
      <c r="U83" s="522">
        <v>24</v>
      </c>
      <c r="V83" s="523">
        <v>18</v>
      </c>
      <c r="W83" s="521">
        <v>27</v>
      </c>
      <c r="X83" s="7">
        <v>20</v>
      </c>
      <c r="Y83" s="7">
        <v>4</v>
      </c>
      <c r="Z83" s="521">
        <v>16</v>
      </c>
      <c r="AA83" s="521">
        <v>12</v>
      </c>
      <c r="AB83" s="521">
        <v>13</v>
      </c>
      <c r="AC83" s="521">
        <v>13</v>
      </c>
      <c r="AD83" s="521">
        <v>11</v>
      </c>
      <c r="AE83" s="524">
        <v>12</v>
      </c>
      <c r="AF83" s="80" t="str">
        <f t="shared" ref="AF83" si="44">IF(AE83=0," ",IF(AI83&gt;20,(AE83-AD83)/AD83," "))</f>
        <v xml:space="preserve"> </v>
      </c>
      <c r="AG83" s="197" t="str">
        <f t="shared" ref="AG83:AG84" si="45">IF(AE83=0," ",IF(AI83&gt;20,(AE83-Z83)/Z83," "))</f>
        <v xml:space="preserve"> </v>
      </c>
      <c r="AH83" s="198" t="str">
        <f t="shared" ref="AH83:AH84" si="46">IF(AE83=0," ",(IF(AI83&gt;20,(AE83-U83)/U83," ")))</f>
        <v xml:space="preserve"> </v>
      </c>
      <c r="AI83" s="246">
        <f t="shared" ref="AI83:AI84" si="47">IF(AC83&gt;0,AVERAGE(AC83:AE83),"  ")</f>
        <v>12</v>
      </c>
      <c r="AJ83" s="90"/>
      <c r="AK83" s="90"/>
      <c r="AL83" s="95"/>
      <c r="AM83" s="95"/>
      <c r="AN83" s="95"/>
      <c r="AO83" s="95"/>
      <c r="AP83" s="95"/>
      <c r="AQ83" s="95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</row>
    <row r="84" spans="1:178" ht="12" x14ac:dyDescent="0.2">
      <c r="A84" s="510" t="s">
        <v>71</v>
      </c>
      <c r="B84" s="511">
        <f t="shared" ref="B84:AE84" si="48">+B82+B83</f>
        <v>0</v>
      </c>
      <c r="C84" s="511">
        <f t="shared" si="48"/>
        <v>0</v>
      </c>
      <c r="D84" s="511">
        <f t="shared" si="48"/>
        <v>0</v>
      </c>
      <c r="E84" s="511">
        <f t="shared" si="48"/>
        <v>0</v>
      </c>
      <c r="F84" s="511">
        <f t="shared" si="48"/>
        <v>0</v>
      </c>
      <c r="G84" s="511">
        <f t="shared" si="48"/>
        <v>0</v>
      </c>
      <c r="H84" s="511">
        <f t="shared" si="48"/>
        <v>0</v>
      </c>
      <c r="I84" s="511">
        <f t="shared" si="48"/>
        <v>7</v>
      </c>
      <c r="J84" s="511">
        <f t="shared" si="48"/>
        <v>5</v>
      </c>
      <c r="K84" s="511">
        <f t="shared" si="48"/>
        <v>9</v>
      </c>
      <c r="L84" s="511">
        <f t="shared" si="48"/>
        <v>4</v>
      </c>
      <c r="M84" s="511">
        <f t="shared" si="48"/>
        <v>12</v>
      </c>
      <c r="N84" s="511">
        <f t="shared" si="48"/>
        <v>8</v>
      </c>
      <c r="O84" s="512">
        <f t="shared" si="48"/>
        <v>11</v>
      </c>
      <c r="P84" s="512">
        <f t="shared" si="48"/>
        <v>7</v>
      </c>
      <c r="Q84" s="513">
        <f t="shared" si="48"/>
        <v>20</v>
      </c>
      <c r="R84" s="513">
        <f t="shared" si="48"/>
        <v>22</v>
      </c>
      <c r="S84" s="513">
        <f t="shared" si="48"/>
        <v>14</v>
      </c>
      <c r="T84" s="513">
        <f t="shared" si="48"/>
        <v>25</v>
      </c>
      <c r="U84" s="513">
        <f t="shared" si="48"/>
        <v>24</v>
      </c>
      <c r="V84" s="514">
        <f t="shared" si="48"/>
        <v>18</v>
      </c>
      <c r="W84" s="511">
        <f t="shared" si="48"/>
        <v>27</v>
      </c>
      <c r="X84" s="511">
        <f t="shared" si="48"/>
        <v>20</v>
      </c>
      <c r="Y84" s="511">
        <f t="shared" si="48"/>
        <v>7</v>
      </c>
      <c r="Z84" s="511">
        <f t="shared" si="48"/>
        <v>19</v>
      </c>
      <c r="AA84" s="511">
        <f t="shared" si="48"/>
        <v>21</v>
      </c>
      <c r="AB84" s="511">
        <f t="shared" si="48"/>
        <v>15</v>
      </c>
      <c r="AC84" s="511">
        <f t="shared" si="48"/>
        <v>19</v>
      </c>
      <c r="AD84" s="511">
        <f t="shared" si="48"/>
        <v>11</v>
      </c>
      <c r="AE84" s="515">
        <f t="shared" si="48"/>
        <v>12</v>
      </c>
      <c r="AF84" s="516" t="str">
        <f>IF(AE84=0," ",IF(AI84&gt;20,(AE84-AD84)/AD84," "))</f>
        <v xml:space="preserve"> </v>
      </c>
      <c r="AG84" s="516" t="str">
        <f t="shared" si="45"/>
        <v xml:space="preserve"> </v>
      </c>
      <c r="AH84" s="517" t="str">
        <f t="shared" si="46"/>
        <v xml:space="preserve"> </v>
      </c>
      <c r="AI84" s="511">
        <f t="shared" si="47"/>
        <v>14</v>
      </c>
      <c r="AJ84" s="90"/>
      <c r="AK84" s="90"/>
      <c r="AL84" s="95"/>
      <c r="AM84" s="95"/>
      <c r="AN84" s="95"/>
      <c r="AO84" s="95"/>
      <c r="AP84" s="95"/>
      <c r="AQ84" s="95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</row>
    <row r="85" spans="1:178" ht="12" x14ac:dyDescent="0.2">
      <c r="A85" s="616" t="s">
        <v>72</v>
      </c>
      <c r="B85" s="617"/>
      <c r="C85" s="617"/>
      <c r="D85" s="617"/>
      <c r="E85" s="617"/>
      <c r="F85" s="617"/>
      <c r="G85" s="617"/>
      <c r="H85" s="617"/>
      <c r="I85" s="617"/>
      <c r="J85" s="617"/>
      <c r="K85" s="617"/>
      <c r="L85" s="617"/>
      <c r="M85" s="617"/>
      <c r="N85" s="617"/>
      <c r="O85" s="617"/>
      <c r="P85" s="617"/>
      <c r="Q85" s="617"/>
      <c r="R85" s="617"/>
      <c r="S85" s="617"/>
      <c r="T85" s="617"/>
      <c r="U85" s="617"/>
      <c r="V85" s="617"/>
      <c r="W85" s="617"/>
      <c r="X85" s="617"/>
      <c r="Y85" s="617"/>
      <c r="Z85" s="617"/>
      <c r="AA85" s="617"/>
      <c r="AB85" s="617"/>
      <c r="AC85" s="617"/>
      <c r="AD85" s="617"/>
      <c r="AE85" s="617"/>
      <c r="AF85" s="617"/>
      <c r="AG85" s="617"/>
      <c r="AH85" s="617"/>
      <c r="AI85" s="618"/>
      <c r="AJ85" s="90"/>
      <c r="AK85" s="90"/>
      <c r="AL85" s="95"/>
      <c r="AM85" s="95"/>
      <c r="AN85" s="95"/>
      <c r="AO85" s="95"/>
      <c r="AP85" s="95"/>
      <c r="AQ85" s="95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</row>
    <row r="86" spans="1:178" ht="12" x14ac:dyDescent="0.2">
      <c r="A86" s="400" t="s">
        <v>162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34"/>
      <c r="N86" s="134"/>
      <c r="O86" s="295"/>
      <c r="P86" s="295"/>
      <c r="Q86" s="336"/>
      <c r="R86" s="336">
        <v>0</v>
      </c>
      <c r="S86" s="336"/>
      <c r="T86" s="336">
        <v>0</v>
      </c>
      <c r="U86" s="590"/>
      <c r="V86" s="188">
        <v>8</v>
      </c>
      <c r="W86" s="134">
        <v>0</v>
      </c>
      <c r="X86" s="93">
        <v>1</v>
      </c>
      <c r="Y86" s="93">
        <v>7</v>
      </c>
      <c r="Z86" s="134">
        <v>7</v>
      </c>
      <c r="AA86" s="134">
        <v>9</v>
      </c>
      <c r="AB86" s="134">
        <v>5</v>
      </c>
      <c r="AC86" s="134">
        <v>14</v>
      </c>
      <c r="AD86" s="134">
        <v>8</v>
      </c>
      <c r="AE86" s="145">
        <v>4</v>
      </c>
      <c r="AF86" s="345" t="str">
        <f>IF(AE86=0," ",IF(AI86&gt;20,(AE86-AD86)/AD86," "))</f>
        <v xml:space="preserve"> </v>
      </c>
      <c r="AG86" s="346" t="str">
        <f>IF(AE86=0," ",IF(AI86&gt;20,(AE86-Z86)/Z86," "))</f>
        <v xml:space="preserve"> </v>
      </c>
      <c r="AH86" s="347" t="str">
        <f>IF(AE86=0," ",(IF(AI86&gt;20,(AE86-U86)/U86," ")))</f>
        <v xml:space="preserve"> </v>
      </c>
      <c r="AI86" s="247">
        <f>IF(AC86&gt;0,AVERAGE(AC86:AE86),"  ")</f>
        <v>8.6666666666666661</v>
      </c>
      <c r="AJ86" s="90"/>
      <c r="AK86" s="90"/>
      <c r="AL86" s="95"/>
      <c r="AM86" s="95"/>
      <c r="AN86" s="95"/>
      <c r="AO86" s="95"/>
      <c r="AP86" s="95"/>
      <c r="AQ86" s="95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</row>
    <row r="87" spans="1:178" ht="12" x14ac:dyDescent="0.2">
      <c r="A87" s="436" t="s">
        <v>160</v>
      </c>
      <c r="B87" s="260"/>
      <c r="C87" s="260"/>
      <c r="D87" s="260"/>
      <c r="E87" s="260"/>
      <c r="F87" s="260"/>
      <c r="G87" s="260"/>
      <c r="H87" s="260"/>
      <c r="I87" s="260"/>
      <c r="J87" s="260"/>
      <c r="K87" s="260"/>
      <c r="L87" s="260"/>
      <c r="M87" s="261"/>
      <c r="N87" s="261"/>
      <c r="O87" s="287"/>
      <c r="P87" s="287"/>
      <c r="Q87" s="332"/>
      <c r="R87" s="332"/>
      <c r="S87" s="332"/>
      <c r="T87" s="332"/>
      <c r="U87" s="590"/>
      <c r="V87" s="590"/>
      <c r="W87" s="590"/>
      <c r="X87" s="590"/>
      <c r="Y87" s="590"/>
      <c r="Z87" s="591"/>
      <c r="AA87" s="591"/>
      <c r="AB87" s="591"/>
      <c r="AC87" s="591"/>
      <c r="AD87" s="591"/>
      <c r="AE87" s="256">
        <v>1</v>
      </c>
      <c r="AF87" s="76"/>
      <c r="AG87" s="193"/>
      <c r="AH87" s="194"/>
      <c r="AI87" s="125"/>
      <c r="AJ87" s="90"/>
      <c r="AK87" s="90"/>
      <c r="AL87" s="95"/>
      <c r="AM87" s="95"/>
      <c r="AN87" s="95"/>
      <c r="AO87" s="95"/>
      <c r="AP87" s="95"/>
      <c r="AQ87" s="95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</row>
    <row r="88" spans="1:178" s="438" customFormat="1" ht="12" x14ac:dyDescent="0.2">
      <c r="A88" s="436" t="s">
        <v>159</v>
      </c>
      <c r="B88" s="260"/>
      <c r="C88" s="260"/>
      <c r="D88" s="260"/>
      <c r="E88" s="260"/>
      <c r="F88" s="260"/>
      <c r="G88" s="260"/>
      <c r="H88" s="260"/>
      <c r="I88" s="260"/>
      <c r="J88" s="260"/>
      <c r="K88" s="260"/>
      <c r="L88" s="260"/>
      <c r="M88" s="261"/>
      <c r="N88" s="261"/>
      <c r="O88" s="287"/>
      <c r="P88" s="287"/>
      <c r="Q88" s="332"/>
      <c r="R88" s="332">
        <v>0</v>
      </c>
      <c r="S88" s="332"/>
      <c r="T88" s="332">
        <v>0</v>
      </c>
      <c r="U88" s="332">
        <v>5</v>
      </c>
      <c r="V88" s="262">
        <v>0</v>
      </c>
      <c r="W88" s="261">
        <v>0</v>
      </c>
      <c r="X88" s="263">
        <v>0</v>
      </c>
      <c r="Y88" s="263">
        <v>7</v>
      </c>
      <c r="Z88" s="261">
        <v>0</v>
      </c>
      <c r="AA88" s="261">
        <v>0</v>
      </c>
      <c r="AB88" s="261">
        <v>0</v>
      </c>
      <c r="AC88" s="261">
        <v>0</v>
      </c>
      <c r="AD88" s="261">
        <v>0</v>
      </c>
      <c r="AE88" s="256">
        <v>0</v>
      </c>
      <c r="AF88" s="76" t="str">
        <f t="shared" ref="AF88:AF95" si="49">IF(AE88=0," ",IF(AI88&gt;20,(AE88-AD88)/AD88," "))</f>
        <v xml:space="preserve"> </v>
      </c>
      <c r="AG88" s="193" t="str">
        <f t="shared" ref="AG88:AG95" si="50">IF(AE88=0," ",IF(AI88&gt;20,(AE88-Z88)/Z88," "))</f>
        <v xml:space="preserve"> </v>
      </c>
      <c r="AH88" s="194" t="str">
        <f t="shared" ref="AH88:AH95" si="51">IF(AE88=0," ",(IF(AI88&gt;20,(AE88-U88)/U88," ")))</f>
        <v xml:space="preserve"> </v>
      </c>
      <c r="AI88" s="125" t="str">
        <f t="shared" ref="AI88:AI95" si="52">IF(AC88&gt;0,AVERAGE(AC88:AE88),"  ")</f>
        <v xml:space="preserve">  </v>
      </c>
      <c r="AJ88" s="437"/>
      <c r="AK88" s="437"/>
      <c r="AL88" s="437"/>
      <c r="AM88" s="437"/>
      <c r="AN88" s="437"/>
      <c r="AO88" s="437"/>
      <c r="AP88" s="437"/>
      <c r="AQ88" s="437"/>
    </row>
    <row r="89" spans="1:178" ht="12" x14ac:dyDescent="0.2">
      <c r="A89" s="518" t="s">
        <v>161</v>
      </c>
      <c r="B89" s="77">
        <v>10</v>
      </c>
      <c r="C89" s="554">
        <v>5</v>
      </c>
      <c r="D89" s="77">
        <v>10</v>
      </c>
      <c r="E89" s="77">
        <v>7</v>
      </c>
      <c r="F89" s="77">
        <v>11</v>
      </c>
      <c r="G89" s="77">
        <v>13</v>
      </c>
      <c r="H89" s="7">
        <v>8</v>
      </c>
      <c r="I89" s="7">
        <v>5</v>
      </c>
      <c r="J89" s="78">
        <v>6</v>
      </c>
      <c r="K89" s="77">
        <f>1+5</f>
        <v>6</v>
      </c>
      <c r="L89" s="77">
        <v>7</v>
      </c>
      <c r="M89" s="77">
        <v>7</v>
      </c>
      <c r="N89" s="7">
        <v>2</v>
      </c>
      <c r="O89" s="267">
        <v>8</v>
      </c>
      <c r="P89" s="267">
        <v>4</v>
      </c>
      <c r="Q89" s="319">
        <v>4</v>
      </c>
      <c r="R89" s="319">
        <v>14</v>
      </c>
      <c r="S89" s="353">
        <v>8</v>
      </c>
      <c r="T89" s="319">
        <v>17</v>
      </c>
      <c r="U89" s="319">
        <v>6</v>
      </c>
      <c r="V89" s="277">
        <v>6</v>
      </c>
      <c r="W89" s="78">
        <v>3</v>
      </c>
      <c r="X89" s="7">
        <v>1</v>
      </c>
      <c r="Y89" s="7">
        <v>2</v>
      </c>
      <c r="Z89" s="78">
        <v>0</v>
      </c>
      <c r="AA89" s="78">
        <v>0</v>
      </c>
      <c r="AB89" s="78">
        <v>1</v>
      </c>
      <c r="AC89" s="78">
        <v>0</v>
      </c>
      <c r="AD89" s="78">
        <v>2</v>
      </c>
      <c r="AE89" s="79">
        <v>1</v>
      </c>
      <c r="AF89" s="80">
        <f t="shared" si="49"/>
        <v>-0.5</v>
      </c>
      <c r="AG89" s="197"/>
      <c r="AH89" s="198">
        <f t="shared" si="51"/>
        <v>-0.83333333333333337</v>
      </c>
      <c r="AI89" s="246" t="str">
        <f t="shared" si="52"/>
        <v xml:space="preserve">  </v>
      </c>
      <c r="AJ89" s="90"/>
      <c r="AK89" s="90"/>
      <c r="AL89" s="95"/>
      <c r="AM89" s="95"/>
      <c r="AN89" s="95"/>
      <c r="AO89" s="95"/>
      <c r="AP89" s="95"/>
      <c r="AQ89" s="95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</row>
    <row r="90" spans="1:178" ht="12" x14ac:dyDescent="0.2">
      <c r="A90" s="510" t="s">
        <v>85</v>
      </c>
      <c r="B90" s="511">
        <f t="shared" ref="B90:T90" si="53">+B86+B89+B88</f>
        <v>10</v>
      </c>
      <c r="C90" s="511">
        <f t="shared" si="53"/>
        <v>5</v>
      </c>
      <c r="D90" s="511">
        <f t="shared" si="53"/>
        <v>10</v>
      </c>
      <c r="E90" s="511">
        <f t="shared" si="53"/>
        <v>7</v>
      </c>
      <c r="F90" s="511">
        <f t="shared" si="53"/>
        <v>11</v>
      </c>
      <c r="G90" s="511">
        <f t="shared" si="53"/>
        <v>13</v>
      </c>
      <c r="H90" s="511">
        <f t="shared" si="53"/>
        <v>8</v>
      </c>
      <c r="I90" s="511">
        <f t="shared" si="53"/>
        <v>5</v>
      </c>
      <c r="J90" s="511">
        <f t="shared" si="53"/>
        <v>6</v>
      </c>
      <c r="K90" s="511">
        <f t="shared" si="53"/>
        <v>6</v>
      </c>
      <c r="L90" s="511">
        <f t="shared" si="53"/>
        <v>7</v>
      </c>
      <c r="M90" s="511">
        <f t="shared" si="53"/>
        <v>7</v>
      </c>
      <c r="N90" s="511">
        <f t="shared" si="53"/>
        <v>2</v>
      </c>
      <c r="O90" s="512">
        <f t="shared" si="53"/>
        <v>8</v>
      </c>
      <c r="P90" s="512">
        <f t="shared" si="53"/>
        <v>4</v>
      </c>
      <c r="Q90" s="513">
        <f t="shared" si="53"/>
        <v>4</v>
      </c>
      <c r="R90" s="513">
        <f t="shared" si="53"/>
        <v>14</v>
      </c>
      <c r="S90" s="513">
        <f t="shared" si="53"/>
        <v>8</v>
      </c>
      <c r="T90" s="513">
        <f t="shared" si="53"/>
        <v>17</v>
      </c>
      <c r="U90" s="513">
        <f>SUM(U86:U89)</f>
        <v>11</v>
      </c>
      <c r="V90" s="514">
        <f t="shared" ref="V90:AE90" si="54">SUM(V86:V89)</f>
        <v>14</v>
      </c>
      <c r="W90" s="511">
        <f t="shared" si="54"/>
        <v>3</v>
      </c>
      <c r="X90" s="511">
        <f t="shared" si="54"/>
        <v>2</v>
      </c>
      <c r="Y90" s="511">
        <f t="shared" si="54"/>
        <v>16</v>
      </c>
      <c r="Z90" s="511">
        <f t="shared" si="54"/>
        <v>7</v>
      </c>
      <c r="AA90" s="511">
        <f t="shared" si="54"/>
        <v>9</v>
      </c>
      <c r="AB90" s="511">
        <f t="shared" si="54"/>
        <v>6</v>
      </c>
      <c r="AC90" s="511">
        <f t="shared" si="54"/>
        <v>14</v>
      </c>
      <c r="AD90" s="511">
        <f t="shared" si="54"/>
        <v>10</v>
      </c>
      <c r="AE90" s="515">
        <f t="shared" si="54"/>
        <v>6</v>
      </c>
      <c r="AF90" s="561" t="str">
        <f t="shared" si="49"/>
        <v xml:space="preserve"> </v>
      </c>
      <c r="AG90" s="561" t="str">
        <f t="shared" si="50"/>
        <v xml:space="preserve"> </v>
      </c>
      <c r="AH90" s="561" t="str">
        <f t="shared" si="51"/>
        <v xml:space="preserve"> </v>
      </c>
      <c r="AI90" s="511">
        <f t="shared" si="52"/>
        <v>10</v>
      </c>
      <c r="AJ90" s="90"/>
      <c r="AK90" s="90"/>
      <c r="AL90" s="95"/>
      <c r="AM90" s="95"/>
      <c r="AN90" s="95"/>
      <c r="AO90" s="95"/>
      <c r="AP90" s="95"/>
      <c r="AQ90" s="95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</row>
    <row r="91" spans="1:178" ht="12" x14ac:dyDescent="0.2">
      <c r="A91" s="616" t="s">
        <v>163</v>
      </c>
      <c r="B91" s="617"/>
      <c r="C91" s="617"/>
      <c r="D91" s="617"/>
      <c r="E91" s="617"/>
      <c r="F91" s="617"/>
      <c r="G91" s="617"/>
      <c r="H91" s="617"/>
      <c r="I91" s="617"/>
      <c r="J91" s="617"/>
      <c r="K91" s="617"/>
      <c r="L91" s="617"/>
      <c r="M91" s="617"/>
      <c r="N91" s="617"/>
      <c r="O91" s="617"/>
      <c r="P91" s="617"/>
      <c r="Q91" s="617"/>
      <c r="R91" s="617"/>
      <c r="S91" s="617"/>
      <c r="T91" s="617"/>
      <c r="U91" s="617"/>
      <c r="V91" s="617"/>
      <c r="W91" s="617"/>
      <c r="X91" s="617"/>
      <c r="Y91" s="617"/>
      <c r="Z91" s="617"/>
      <c r="AA91" s="617"/>
      <c r="AB91" s="617"/>
      <c r="AC91" s="617"/>
      <c r="AD91" s="617"/>
      <c r="AE91" s="617"/>
      <c r="AF91" s="617"/>
      <c r="AG91" s="617"/>
      <c r="AH91" s="617"/>
      <c r="AI91" s="618"/>
      <c r="AJ91" s="90"/>
      <c r="AK91" s="90"/>
      <c r="AL91" s="95"/>
      <c r="AM91" s="95"/>
      <c r="AN91" s="95"/>
      <c r="AO91" s="95"/>
      <c r="AP91" s="95"/>
      <c r="AQ91" s="95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</row>
    <row r="92" spans="1:178" ht="12" x14ac:dyDescent="0.2">
      <c r="A92" s="507" t="s">
        <v>145</v>
      </c>
      <c r="B92" s="526"/>
      <c r="C92" s="526"/>
      <c r="D92" s="526"/>
      <c r="E92" s="526"/>
      <c r="F92" s="526"/>
      <c r="G92" s="526"/>
      <c r="H92" s="526"/>
      <c r="I92" s="526"/>
      <c r="J92" s="526"/>
      <c r="K92" s="526"/>
      <c r="L92" s="526"/>
      <c r="M92" s="526"/>
      <c r="N92" s="526"/>
      <c r="O92" s="527"/>
      <c r="P92" s="527"/>
      <c r="Q92" s="528"/>
      <c r="R92" s="528"/>
      <c r="S92" s="528"/>
      <c r="T92" s="528"/>
      <c r="U92" s="588"/>
      <c r="V92" s="530"/>
      <c r="W92" s="531"/>
      <c r="X92" s="531"/>
      <c r="Y92" s="531"/>
      <c r="Z92" s="603">
        <v>34</v>
      </c>
      <c r="AA92" s="603">
        <v>41</v>
      </c>
      <c r="AB92" s="603">
        <v>38</v>
      </c>
      <c r="AC92" s="603">
        <v>62</v>
      </c>
      <c r="AD92" s="603">
        <v>62</v>
      </c>
      <c r="AE92" s="532">
        <v>58</v>
      </c>
      <c r="AF92" s="345">
        <f>IF(AE92=0," ",IF(AI92&gt;20,(AE92-AD92)/AD92," "))</f>
        <v>-6.4516129032258063E-2</v>
      </c>
      <c r="AG92" s="346">
        <f>IF(AE92=0," ",IF(AI92&gt;20,(AE92-Z92)/Z92," "))</f>
        <v>0.70588235294117652</v>
      </c>
      <c r="AH92" s="347" t="e">
        <f>IF(AE92=0," ",(IF(AI92&gt;20,(AE92-U92)/U92," ")))</f>
        <v>#DIV/0!</v>
      </c>
      <c r="AI92" s="247">
        <f>IF(AC92&gt;0,AVERAGE(AC92:AE92),"  ")</f>
        <v>60.666666666666664</v>
      </c>
      <c r="AJ92" s="90"/>
      <c r="AK92" s="90"/>
      <c r="AL92" s="95"/>
      <c r="AM92" s="95"/>
      <c r="AN92" s="95"/>
      <c r="AO92" s="95"/>
      <c r="AP92" s="95"/>
      <c r="AQ92" s="95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</row>
    <row r="93" spans="1:178" ht="12" x14ac:dyDescent="0.2">
      <c r="A93" s="508" t="s">
        <v>144</v>
      </c>
      <c r="B93" s="378"/>
      <c r="C93" s="378"/>
      <c r="D93" s="378"/>
      <c r="E93" s="378"/>
      <c r="F93" s="378"/>
      <c r="G93" s="378"/>
      <c r="H93" s="378"/>
      <c r="I93" s="378"/>
      <c r="J93" s="378"/>
      <c r="K93" s="378"/>
      <c r="L93" s="378"/>
      <c r="M93" s="378"/>
      <c r="N93" s="378"/>
      <c r="O93" s="533"/>
      <c r="P93" s="533"/>
      <c r="Q93" s="534"/>
      <c r="R93" s="534"/>
      <c r="S93" s="534"/>
      <c r="T93" s="534"/>
      <c r="U93" s="589">
        <v>79</v>
      </c>
      <c r="V93" s="536"/>
      <c r="W93" s="379"/>
      <c r="X93" s="379"/>
      <c r="Y93" s="379"/>
      <c r="Z93" s="8">
        <v>135</v>
      </c>
      <c r="AA93" s="8">
        <v>135</v>
      </c>
      <c r="AB93" s="8">
        <v>154</v>
      </c>
      <c r="AC93" s="8">
        <v>134</v>
      </c>
      <c r="AD93" s="8">
        <v>109</v>
      </c>
      <c r="AE93" s="537">
        <v>102</v>
      </c>
      <c r="AF93" s="80"/>
      <c r="AG93" s="197"/>
      <c r="AH93" s="198"/>
      <c r="AI93" s="246"/>
      <c r="AJ93" s="90"/>
      <c r="AK93" s="90"/>
      <c r="AL93" s="95"/>
      <c r="AM93" s="95"/>
      <c r="AN93" s="95"/>
      <c r="AO93" s="95"/>
      <c r="AP93" s="95"/>
      <c r="AQ93" s="95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</row>
    <row r="94" spans="1:178" ht="12" x14ac:dyDescent="0.2">
      <c r="A94" s="506" t="s">
        <v>164</v>
      </c>
      <c r="B94" s="120">
        <v>0</v>
      </c>
      <c r="C94" s="120">
        <v>0</v>
      </c>
      <c r="D94" s="120">
        <v>4</v>
      </c>
      <c r="E94" s="120">
        <v>0</v>
      </c>
      <c r="F94" s="120">
        <v>0</v>
      </c>
      <c r="G94" s="120">
        <v>0</v>
      </c>
      <c r="H94" s="121">
        <v>0</v>
      </c>
      <c r="I94" s="121">
        <v>0</v>
      </c>
      <c r="J94" s="120">
        <v>19</v>
      </c>
      <c r="K94" s="120">
        <v>29</v>
      </c>
      <c r="L94" s="120">
        <v>31</v>
      </c>
      <c r="M94" s="120">
        <v>45</v>
      </c>
      <c r="N94" s="121">
        <v>27</v>
      </c>
      <c r="O94" s="270">
        <v>39</v>
      </c>
      <c r="P94" s="270">
        <v>46</v>
      </c>
      <c r="Q94" s="322">
        <v>62</v>
      </c>
      <c r="R94" s="322">
        <v>54</v>
      </c>
      <c r="S94" s="355">
        <v>72</v>
      </c>
      <c r="T94" s="322">
        <v>73</v>
      </c>
      <c r="U94" s="322">
        <f>U93</f>
        <v>79</v>
      </c>
      <c r="V94" s="279">
        <v>71</v>
      </c>
      <c r="W94" s="120">
        <v>119</v>
      </c>
      <c r="X94" s="121">
        <v>126</v>
      </c>
      <c r="Y94" s="121">
        <v>160</v>
      </c>
      <c r="Z94" s="120">
        <f t="shared" ref="Z94:AD94" si="55">Z93+Z92</f>
        <v>169</v>
      </c>
      <c r="AA94" s="120">
        <f t="shared" si="55"/>
        <v>176</v>
      </c>
      <c r="AB94" s="120">
        <f t="shared" si="55"/>
        <v>192</v>
      </c>
      <c r="AC94" s="120">
        <f t="shared" si="55"/>
        <v>196</v>
      </c>
      <c r="AD94" s="120">
        <f t="shared" si="55"/>
        <v>171</v>
      </c>
      <c r="AE94" s="525">
        <f>AE93+AE92</f>
        <v>160</v>
      </c>
      <c r="AF94" s="562">
        <f t="shared" si="49"/>
        <v>-6.4327485380116955E-2</v>
      </c>
      <c r="AG94" s="562">
        <f t="shared" si="50"/>
        <v>-5.3254437869822487E-2</v>
      </c>
      <c r="AH94" s="562">
        <f t="shared" si="51"/>
        <v>1.0253164556962024</v>
      </c>
      <c r="AI94" s="120">
        <f t="shared" si="52"/>
        <v>175.66666666666666</v>
      </c>
      <c r="AJ94" s="90"/>
      <c r="AK94" s="90"/>
      <c r="AL94" s="95"/>
      <c r="AM94" s="95"/>
      <c r="AN94" s="95"/>
      <c r="AO94" s="95"/>
      <c r="AP94" s="95"/>
      <c r="AQ94" s="95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</row>
    <row r="95" spans="1:178" ht="12.75" thickBot="1" x14ac:dyDescent="0.25">
      <c r="A95" s="439" t="s">
        <v>73</v>
      </c>
      <c r="B95" s="128">
        <f t="shared" ref="B95:AD95" si="56">+B94+B90+B84</f>
        <v>10</v>
      </c>
      <c r="C95" s="128">
        <f t="shared" si="56"/>
        <v>5</v>
      </c>
      <c r="D95" s="128">
        <f t="shared" si="56"/>
        <v>14</v>
      </c>
      <c r="E95" s="128">
        <f t="shared" si="56"/>
        <v>7</v>
      </c>
      <c r="F95" s="128">
        <f t="shared" si="56"/>
        <v>11</v>
      </c>
      <c r="G95" s="128">
        <f t="shared" si="56"/>
        <v>13</v>
      </c>
      <c r="H95" s="128">
        <f t="shared" si="56"/>
        <v>8</v>
      </c>
      <c r="I95" s="128">
        <f t="shared" si="56"/>
        <v>12</v>
      </c>
      <c r="J95" s="128">
        <f t="shared" si="56"/>
        <v>30</v>
      </c>
      <c r="K95" s="128">
        <f t="shared" si="56"/>
        <v>44</v>
      </c>
      <c r="L95" s="128">
        <f t="shared" si="56"/>
        <v>42</v>
      </c>
      <c r="M95" s="128">
        <f t="shared" si="56"/>
        <v>64</v>
      </c>
      <c r="N95" s="128">
        <f t="shared" si="56"/>
        <v>37</v>
      </c>
      <c r="O95" s="289">
        <f t="shared" si="56"/>
        <v>58</v>
      </c>
      <c r="P95" s="314">
        <f t="shared" si="56"/>
        <v>57</v>
      </c>
      <c r="Q95" s="333">
        <f t="shared" si="56"/>
        <v>86</v>
      </c>
      <c r="R95" s="333">
        <f t="shared" si="56"/>
        <v>90</v>
      </c>
      <c r="S95" s="333">
        <f t="shared" si="56"/>
        <v>94</v>
      </c>
      <c r="T95" s="333">
        <f t="shared" si="56"/>
        <v>115</v>
      </c>
      <c r="U95" s="381">
        <f t="shared" si="56"/>
        <v>114</v>
      </c>
      <c r="V95" s="185">
        <f t="shared" si="56"/>
        <v>103</v>
      </c>
      <c r="W95" s="128">
        <f t="shared" si="56"/>
        <v>149</v>
      </c>
      <c r="X95" s="128">
        <f t="shared" si="56"/>
        <v>148</v>
      </c>
      <c r="Y95" s="128">
        <f t="shared" si="56"/>
        <v>183</v>
      </c>
      <c r="Z95" s="128">
        <f t="shared" si="56"/>
        <v>195</v>
      </c>
      <c r="AA95" s="128">
        <f t="shared" si="56"/>
        <v>206</v>
      </c>
      <c r="AB95" s="128">
        <f t="shared" si="56"/>
        <v>213</v>
      </c>
      <c r="AC95" s="128">
        <f t="shared" si="56"/>
        <v>229</v>
      </c>
      <c r="AD95" s="128">
        <f t="shared" si="56"/>
        <v>192</v>
      </c>
      <c r="AE95" s="128">
        <f>+AE94+AE90+AE84</f>
        <v>178</v>
      </c>
      <c r="AF95" s="239">
        <f t="shared" si="49"/>
        <v>-7.2916666666666671E-2</v>
      </c>
      <c r="AG95" s="239">
        <f t="shared" si="50"/>
        <v>-8.7179487179487175E-2</v>
      </c>
      <c r="AH95" s="239">
        <f t="shared" si="51"/>
        <v>0.56140350877192979</v>
      </c>
      <c r="AI95" s="128">
        <f t="shared" si="52"/>
        <v>199.66666666666666</v>
      </c>
      <c r="AJ95" s="90"/>
      <c r="AK95" s="90"/>
      <c r="AL95" s="95"/>
      <c r="AM95" s="95"/>
      <c r="AN95" s="95"/>
      <c r="AO95" s="95"/>
      <c r="AP95" s="95"/>
      <c r="AQ95" s="95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</row>
    <row r="96" spans="1:178" ht="13.5" thickTop="1" x14ac:dyDescent="0.2">
      <c r="A96" s="440" t="s">
        <v>74</v>
      </c>
      <c r="B96" s="10"/>
      <c r="C96" s="10"/>
      <c r="D96" s="10"/>
      <c r="E96" s="10"/>
      <c r="F96" s="10"/>
      <c r="G96" s="11"/>
      <c r="H96" s="11"/>
      <c r="I96" s="11"/>
      <c r="J96" s="11"/>
      <c r="K96" s="10"/>
      <c r="L96" s="10"/>
      <c r="M96" s="10"/>
      <c r="N96" s="10"/>
      <c r="O96" s="12"/>
      <c r="P96" s="12"/>
      <c r="Q96" s="12"/>
      <c r="R96" s="12"/>
      <c r="S96" s="12"/>
      <c r="T96" s="13"/>
      <c r="U96" s="13"/>
      <c r="V96" s="13"/>
      <c r="W96" s="13"/>
      <c r="X96" s="13"/>
      <c r="Y96" s="13"/>
      <c r="Z96" s="14"/>
      <c r="AA96" s="14"/>
      <c r="AB96" s="14"/>
      <c r="AC96" s="14"/>
      <c r="AD96" s="14"/>
      <c r="AE96" s="14"/>
      <c r="AF96" s="237"/>
      <c r="AG96" s="238"/>
      <c r="AH96" s="237"/>
      <c r="AI96" s="15"/>
      <c r="AJ96" s="90"/>
      <c r="AK96" s="90"/>
      <c r="AL96" s="95"/>
      <c r="AM96" s="95"/>
      <c r="AN96" s="95"/>
      <c r="AO96" s="95"/>
      <c r="AP96" s="95"/>
      <c r="AQ96" s="95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</row>
    <row r="97" spans="1:178" ht="12" x14ac:dyDescent="0.2">
      <c r="A97" s="441" t="s">
        <v>107</v>
      </c>
      <c r="B97" s="162"/>
      <c r="C97" s="168"/>
      <c r="D97" s="168"/>
      <c r="E97" s="168"/>
      <c r="F97" s="168"/>
      <c r="G97" s="168"/>
      <c r="H97" s="169">
        <v>0</v>
      </c>
      <c r="I97" s="169"/>
      <c r="J97" s="170"/>
      <c r="K97" s="168"/>
      <c r="L97" s="168">
        <v>0</v>
      </c>
      <c r="M97" s="168"/>
      <c r="N97" s="169">
        <v>0</v>
      </c>
      <c r="O97" s="290">
        <v>0</v>
      </c>
      <c r="P97" s="315">
        <v>0</v>
      </c>
      <c r="Q97" s="334">
        <v>0</v>
      </c>
      <c r="R97" s="334">
        <v>15</v>
      </c>
      <c r="S97" s="359">
        <v>15</v>
      </c>
      <c r="T97" s="334">
        <v>12</v>
      </c>
      <c r="U97" s="334">
        <v>13</v>
      </c>
      <c r="V97" s="366">
        <v>19</v>
      </c>
      <c r="W97" s="164">
        <v>18</v>
      </c>
      <c r="X97" s="163">
        <v>18</v>
      </c>
      <c r="Y97" s="163">
        <v>18</v>
      </c>
      <c r="Z97" s="313">
        <v>19</v>
      </c>
      <c r="AA97" s="313">
        <v>10</v>
      </c>
      <c r="AB97" s="313">
        <v>21</v>
      </c>
      <c r="AC97" s="313">
        <v>10</v>
      </c>
      <c r="AD97" s="313">
        <v>6</v>
      </c>
      <c r="AE97" s="84">
        <v>8</v>
      </c>
      <c r="AF97" s="226" t="str">
        <f t="shared" ref="AF97:AF101" si="57">IF(AE97=0," ",IF(AI97&gt;20,(AE97-AD97)/AD97," "))</f>
        <v xml:space="preserve"> </v>
      </c>
      <c r="AG97" s="227" t="str">
        <f t="shared" ref="AG97:AG101" si="58">IF(AE97=0," ",IF(AI97&gt;20,(AE97-Z97)/Z97," "))</f>
        <v xml:space="preserve"> </v>
      </c>
      <c r="AH97" s="228" t="str">
        <f t="shared" ref="AH97:AH101" si="59">IF(AE97=0," ",(IF(AI97&gt;20,(AE97-U97)/U97," ")))</f>
        <v xml:space="preserve"> </v>
      </c>
      <c r="AI97" s="245">
        <f t="shared" ref="AI97:AI101" si="60">IF(AC97&gt;0,AVERAGE(AC97:AE97),"  ")</f>
        <v>8</v>
      </c>
      <c r="AJ97" s="90"/>
      <c r="AK97" s="90"/>
      <c r="AL97" s="95"/>
      <c r="AM97" s="95"/>
      <c r="AN97" s="95"/>
      <c r="AO97" s="95"/>
      <c r="AP97" s="95"/>
      <c r="AQ97" s="95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</row>
    <row r="98" spans="1:178" ht="12" x14ac:dyDescent="0.2">
      <c r="A98" s="442" t="s">
        <v>165</v>
      </c>
      <c r="B98" s="165"/>
      <c r="C98" s="171"/>
      <c r="D98" s="171"/>
      <c r="E98" s="171"/>
      <c r="F98" s="171">
        <v>0</v>
      </c>
      <c r="G98" s="171">
        <v>0</v>
      </c>
      <c r="H98" s="171"/>
      <c r="I98" s="171"/>
      <c r="J98" s="171"/>
      <c r="K98" s="171">
        <v>0</v>
      </c>
      <c r="L98" s="171">
        <v>0</v>
      </c>
      <c r="M98" s="172">
        <v>0</v>
      </c>
      <c r="N98" s="172">
        <v>0</v>
      </c>
      <c r="O98" s="291">
        <v>0</v>
      </c>
      <c r="P98" s="166">
        <v>8</v>
      </c>
      <c r="Q98" s="335">
        <v>7</v>
      </c>
      <c r="R98" s="335">
        <f>5+3</f>
        <v>8</v>
      </c>
      <c r="S98" s="335">
        <f>6+2</f>
        <v>8</v>
      </c>
      <c r="T98" s="335">
        <v>16</v>
      </c>
      <c r="U98" s="335">
        <f>6+2</f>
        <v>8</v>
      </c>
      <c r="V98" s="367">
        <v>8</v>
      </c>
      <c r="W98" s="166">
        <v>1</v>
      </c>
      <c r="X98" s="163">
        <v>5</v>
      </c>
      <c r="Y98" s="163">
        <v>14</v>
      </c>
      <c r="Z98" s="288">
        <v>10</v>
      </c>
      <c r="AA98" s="288">
        <v>10</v>
      </c>
      <c r="AB98" s="288">
        <v>3</v>
      </c>
      <c r="AC98" s="288">
        <v>11</v>
      </c>
      <c r="AD98" s="288">
        <v>0</v>
      </c>
      <c r="AE98" s="96">
        <v>0</v>
      </c>
      <c r="AF98" s="229" t="str">
        <f t="shared" si="57"/>
        <v xml:space="preserve"> </v>
      </c>
      <c r="AG98" s="230" t="str">
        <f t="shared" si="58"/>
        <v xml:space="preserve"> </v>
      </c>
      <c r="AH98" s="231" t="str">
        <f t="shared" si="59"/>
        <v xml:space="preserve"> </v>
      </c>
      <c r="AI98" s="125">
        <f t="shared" si="60"/>
        <v>3.6666666666666665</v>
      </c>
      <c r="AJ98" s="90"/>
      <c r="AK98" s="90"/>
      <c r="AL98" s="95"/>
      <c r="AM98" s="95"/>
      <c r="AN98" s="95"/>
      <c r="AO98" s="95"/>
      <c r="AP98" s="95"/>
      <c r="AQ98" s="95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</row>
    <row r="99" spans="1:178" ht="12" x14ac:dyDescent="0.2">
      <c r="A99" s="443" t="s">
        <v>86</v>
      </c>
      <c r="B99" s="162">
        <v>12</v>
      </c>
      <c r="C99" s="173">
        <v>7</v>
      </c>
      <c r="D99" s="173">
        <v>11</v>
      </c>
      <c r="E99" s="173">
        <v>13</v>
      </c>
      <c r="F99" s="173">
        <v>16</v>
      </c>
      <c r="G99" s="173">
        <v>15</v>
      </c>
      <c r="H99" s="174">
        <v>15</v>
      </c>
      <c r="I99" s="174">
        <v>23</v>
      </c>
      <c r="J99" s="175">
        <v>17</v>
      </c>
      <c r="K99" s="173">
        <v>22</v>
      </c>
      <c r="L99" s="173">
        <v>27</v>
      </c>
      <c r="M99" s="173">
        <v>20</v>
      </c>
      <c r="N99" s="174">
        <v>22</v>
      </c>
      <c r="O99" s="292">
        <v>22</v>
      </c>
      <c r="P99" s="163">
        <v>16</v>
      </c>
      <c r="Q99" s="334">
        <v>19</v>
      </c>
      <c r="R99" s="334">
        <v>18</v>
      </c>
      <c r="S99" s="359">
        <f>19+2</f>
        <v>21</v>
      </c>
      <c r="T99" s="334">
        <v>21</v>
      </c>
      <c r="U99" s="334">
        <f>19+1</f>
        <v>20</v>
      </c>
      <c r="V99" s="366">
        <v>25</v>
      </c>
      <c r="W99" s="164">
        <v>17</v>
      </c>
      <c r="X99" s="163">
        <v>26</v>
      </c>
      <c r="Y99" s="163">
        <v>22</v>
      </c>
      <c r="Z99" s="313">
        <v>14</v>
      </c>
      <c r="AA99" s="313">
        <v>18</v>
      </c>
      <c r="AB99" s="313">
        <v>18</v>
      </c>
      <c r="AC99" s="313">
        <v>25</v>
      </c>
      <c r="AD99" s="313">
        <v>7</v>
      </c>
      <c r="AE99" s="84">
        <v>3</v>
      </c>
      <c r="AF99" s="229" t="str">
        <f t="shared" si="57"/>
        <v xml:space="preserve"> </v>
      </c>
      <c r="AG99" s="230" t="str">
        <f t="shared" si="58"/>
        <v xml:space="preserve"> </v>
      </c>
      <c r="AH99" s="231" t="str">
        <f t="shared" si="59"/>
        <v xml:space="preserve"> </v>
      </c>
      <c r="AI99" s="125">
        <f t="shared" si="60"/>
        <v>11.666666666666666</v>
      </c>
      <c r="AJ99" s="90"/>
      <c r="AK99" s="90"/>
      <c r="AL99" s="95"/>
      <c r="AM99" s="95"/>
      <c r="AN99" s="95"/>
      <c r="AO99" s="95"/>
      <c r="AP99" s="95"/>
      <c r="AQ99" s="95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</row>
    <row r="100" spans="1:178" ht="12" x14ac:dyDescent="0.2">
      <c r="A100" s="443" t="s">
        <v>87</v>
      </c>
      <c r="B100" s="167">
        <v>6</v>
      </c>
      <c r="C100" s="176">
        <v>6</v>
      </c>
      <c r="D100" s="176">
        <v>2</v>
      </c>
      <c r="E100" s="176">
        <v>0</v>
      </c>
      <c r="F100" s="176">
        <v>6</v>
      </c>
      <c r="G100" s="176">
        <v>7</v>
      </c>
      <c r="H100" s="177">
        <v>8</v>
      </c>
      <c r="I100" s="177">
        <v>4</v>
      </c>
      <c r="J100" s="178">
        <v>6</v>
      </c>
      <c r="K100" s="176">
        <v>3</v>
      </c>
      <c r="L100" s="176">
        <v>6</v>
      </c>
      <c r="M100" s="176">
        <v>7</v>
      </c>
      <c r="N100" s="177">
        <v>10</v>
      </c>
      <c r="O100" s="293">
        <v>7</v>
      </c>
      <c r="P100" s="316">
        <v>9</v>
      </c>
      <c r="Q100" s="334">
        <v>3</v>
      </c>
      <c r="R100" s="334">
        <v>0</v>
      </c>
      <c r="S100" s="359">
        <v>6</v>
      </c>
      <c r="T100" s="334">
        <v>7</v>
      </c>
      <c r="U100" s="334">
        <v>9</v>
      </c>
      <c r="V100" s="366">
        <v>6</v>
      </c>
      <c r="W100" s="164">
        <v>3</v>
      </c>
      <c r="X100" s="163">
        <v>10</v>
      </c>
      <c r="Y100" s="163">
        <v>3</v>
      </c>
      <c r="Z100" s="313">
        <v>5</v>
      </c>
      <c r="AA100" s="313">
        <v>1</v>
      </c>
      <c r="AB100" s="313">
        <v>6</v>
      </c>
      <c r="AC100" s="313">
        <v>3</v>
      </c>
      <c r="AD100" s="313">
        <v>2</v>
      </c>
      <c r="AE100" s="84">
        <v>3</v>
      </c>
      <c r="AF100" s="229" t="str">
        <f t="shared" si="57"/>
        <v xml:space="preserve"> </v>
      </c>
      <c r="AG100" s="230" t="str">
        <f t="shared" si="58"/>
        <v xml:space="preserve"> </v>
      </c>
      <c r="AH100" s="231" t="str">
        <f t="shared" si="59"/>
        <v xml:space="preserve"> </v>
      </c>
      <c r="AI100" s="125">
        <f t="shared" si="60"/>
        <v>2.6666666666666665</v>
      </c>
      <c r="AJ100" s="90"/>
      <c r="AK100" s="90"/>
      <c r="AL100" s="95"/>
      <c r="AM100" s="95"/>
      <c r="AN100" s="95"/>
      <c r="AO100" s="95"/>
      <c r="AP100" s="95"/>
      <c r="AQ100" s="95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</row>
    <row r="101" spans="1:178" ht="12.75" thickBot="1" x14ac:dyDescent="0.25">
      <c r="A101" s="444" t="s">
        <v>75</v>
      </c>
      <c r="B101" s="58">
        <f>SUM(B97:B100)</f>
        <v>18</v>
      </c>
      <c r="C101" s="58">
        <f t="shared" ref="C101:AE101" si="61">SUM(C97:C100)</f>
        <v>13</v>
      </c>
      <c r="D101" s="58">
        <f t="shared" si="61"/>
        <v>13</v>
      </c>
      <c r="E101" s="58">
        <f t="shared" si="61"/>
        <v>13</v>
      </c>
      <c r="F101" s="58">
        <f t="shared" si="61"/>
        <v>22</v>
      </c>
      <c r="G101" s="58">
        <f t="shared" si="61"/>
        <v>22</v>
      </c>
      <c r="H101" s="58">
        <f t="shared" si="61"/>
        <v>23</v>
      </c>
      <c r="I101" s="58">
        <f t="shared" si="61"/>
        <v>27</v>
      </c>
      <c r="J101" s="58">
        <f t="shared" si="61"/>
        <v>23</v>
      </c>
      <c r="K101" s="58">
        <f t="shared" si="61"/>
        <v>25</v>
      </c>
      <c r="L101" s="58">
        <f t="shared" si="61"/>
        <v>33</v>
      </c>
      <c r="M101" s="58">
        <f t="shared" si="61"/>
        <v>27</v>
      </c>
      <c r="N101" s="58">
        <f t="shared" si="61"/>
        <v>32</v>
      </c>
      <c r="O101" s="273">
        <f t="shared" si="61"/>
        <v>29</v>
      </c>
      <c r="P101" s="273">
        <f t="shared" si="61"/>
        <v>33</v>
      </c>
      <c r="Q101" s="326">
        <f t="shared" si="61"/>
        <v>29</v>
      </c>
      <c r="R101" s="326">
        <f t="shared" si="61"/>
        <v>41</v>
      </c>
      <c r="S101" s="326">
        <f t="shared" si="61"/>
        <v>50</v>
      </c>
      <c r="T101" s="326">
        <f t="shared" si="61"/>
        <v>56</v>
      </c>
      <c r="U101" s="326">
        <f t="shared" si="61"/>
        <v>50</v>
      </c>
      <c r="V101" s="186">
        <f t="shared" si="61"/>
        <v>58</v>
      </c>
      <c r="W101" s="58">
        <f t="shared" si="61"/>
        <v>39</v>
      </c>
      <c r="X101" s="58">
        <f t="shared" si="61"/>
        <v>59</v>
      </c>
      <c r="Y101" s="58">
        <f t="shared" si="61"/>
        <v>57</v>
      </c>
      <c r="Z101" s="58">
        <f t="shared" ref="Z101:AD101" si="62">SUM(Z97:Z100)</f>
        <v>48</v>
      </c>
      <c r="AA101" s="58">
        <f t="shared" si="62"/>
        <v>39</v>
      </c>
      <c r="AB101" s="58">
        <f t="shared" si="62"/>
        <v>48</v>
      </c>
      <c r="AC101" s="58">
        <f t="shared" si="62"/>
        <v>49</v>
      </c>
      <c r="AD101" s="58">
        <f t="shared" si="62"/>
        <v>15</v>
      </c>
      <c r="AE101" s="58">
        <f t="shared" si="61"/>
        <v>14</v>
      </c>
      <c r="AF101" s="105">
        <f t="shared" si="57"/>
        <v>-6.6666666666666666E-2</v>
      </c>
      <c r="AG101" s="105">
        <f t="shared" si="58"/>
        <v>-0.70833333333333337</v>
      </c>
      <c r="AH101" s="105">
        <f t="shared" si="59"/>
        <v>-0.72</v>
      </c>
      <c r="AI101" s="58">
        <f t="shared" si="60"/>
        <v>26</v>
      </c>
      <c r="AJ101" s="97"/>
      <c r="AK101" s="90"/>
      <c r="AL101" s="98"/>
      <c r="AM101" s="98"/>
      <c r="AN101" s="98"/>
      <c r="AO101" s="98"/>
      <c r="AP101" s="98"/>
      <c r="AQ101" s="98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  <c r="EV101" s="57"/>
      <c r="EW101" s="57"/>
      <c r="EX101" s="57"/>
      <c r="EY101" s="57"/>
      <c r="EZ101" s="57"/>
      <c r="FA101" s="57"/>
      <c r="FB101" s="57"/>
      <c r="FC101" s="57"/>
      <c r="FD101" s="57"/>
      <c r="FE101" s="57"/>
      <c r="FF101" s="57"/>
      <c r="FG101" s="57"/>
      <c r="FH101" s="57"/>
      <c r="FI101" s="57"/>
      <c r="FJ101" s="57"/>
      <c r="FK101" s="57"/>
      <c r="FL101" s="57"/>
      <c r="FM101" s="57"/>
      <c r="FN101" s="57"/>
      <c r="FO101" s="57"/>
      <c r="FP101" s="57"/>
      <c r="FQ101" s="57"/>
      <c r="FR101" s="57"/>
      <c r="FS101" s="57"/>
      <c r="FT101" s="57"/>
      <c r="FU101" s="57"/>
      <c r="FV101" s="57"/>
    </row>
    <row r="102" spans="1:178" ht="13.5" thickTop="1" x14ac:dyDescent="0.2">
      <c r="A102" s="445" t="s">
        <v>76</v>
      </c>
      <c r="B102" s="129"/>
      <c r="C102" s="129"/>
      <c r="D102" s="130"/>
      <c r="E102" s="130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131"/>
      <c r="AA102" s="131"/>
      <c r="AB102" s="131"/>
      <c r="AC102" s="131"/>
      <c r="AD102" s="131"/>
      <c r="AE102" s="131"/>
      <c r="AF102" s="131"/>
      <c r="AG102" s="131"/>
      <c r="AH102" s="108"/>
      <c r="AI102" s="109"/>
      <c r="AJ102" s="97"/>
      <c r="AK102" s="90"/>
      <c r="AL102" s="98"/>
      <c r="AM102" s="98"/>
      <c r="AN102" s="98"/>
      <c r="AO102" s="98"/>
      <c r="AP102" s="98"/>
      <c r="AQ102" s="98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  <c r="FU102" s="57"/>
      <c r="FV102" s="57"/>
    </row>
    <row r="103" spans="1:178" ht="12" x14ac:dyDescent="0.2">
      <c r="A103" s="401" t="s">
        <v>166</v>
      </c>
      <c r="B103" s="100"/>
      <c r="C103" s="100"/>
      <c r="D103" s="100"/>
      <c r="E103" s="100"/>
      <c r="F103" s="100"/>
      <c r="G103" s="132"/>
      <c r="H103" s="93"/>
      <c r="I103" s="93">
        <v>0</v>
      </c>
      <c r="J103" s="133"/>
      <c r="K103" s="133"/>
      <c r="L103" s="133">
        <v>0</v>
      </c>
      <c r="M103" s="133"/>
      <c r="N103" s="93"/>
      <c r="O103" s="265">
        <v>0</v>
      </c>
      <c r="P103" s="265">
        <v>0</v>
      </c>
      <c r="Q103" s="336">
        <v>0</v>
      </c>
      <c r="R103" s="336">
        <v>0</v>
      </c>
      <c r="S103" s="351">
        <v>2</v>
      </c>
      <c r="T103" s="336">
        <v>2</v>
      </c>
      <c r="U103" s="336">
        <v>6</v>
      </c>
      <c r="V103" s="188">
        <v>4</v>
      </c>
      <c r="W103" s="134">
        <v>5</v>
      </c>
      <c r="X103" s="93">
        <v>2</v>
      </c>
      <c r="Y103" s="93">
        <v>4</v>
      </c>
      <c r="Z103" s="134">
        <v>2</v>
      </c>
      <c r="AA103" s="134">
        <v>6</v>
      </c>
      <c r="AB103" s="134">
        <v>3</v>
      </c>
      <c r="AC103" s="134">
        <v>3</v>
      </c>
      <c r="AD103" s="134">
        <v>3</v>
      </c>
      <c r="AE103" s="135">
        <v>4</v>
      </c>
      <c r="AF103" s="114" t="str">
        <f t="shared" ref="AF103:AF110" si="63">IF(AE103=0," ",IF(AI103&gt;20,(AE103-AD103)/AD103," "))</f>
        <v xml:space="preserve"> </v>
      </c>
      <c r="AG103" s="235" t="str">
        <f t="shared" ref="AG103:AG110" si="64">IF(AE103=0," ",IF(AI103&gt;20,(AE103-Z103)/Z103," "))</f>
        <v xml:space="preserve"> </v>
      </c>
      <c r="AH103" s="236" t="str">
        <f t="shared" ref="AH103:AH110" si="65">IF(AE103=0," ",(IF(AI103&gt;20,(AE103-U103)/U103," ")))</f>
        <v xml:space="preserve"> </v>
      </c>
      <c r="AI103" s="247">
        <f t="shared" ref="AI103:AI110" si="66">IF(AC103&gt;0,AVERAGE(AC103:AE103),"  ")</f>
        <v>3.3333333333333335</v>
      </c>
      <c r="AJ103" s="90"/>
      <c r="AK103" s="90"/>
      <c r="AL103" s="95"/>
      <c r="AM103" s="95"/>
      <c r="AN103" s="95"/>
      <c r="AO103" s="95"/>
      <c r="AP103" s="95"/>
      <c r="AQ103" s="95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</row>
    <row r="104" spans="1:178" ht="12" x14ac:dyDescent="0.2">
      <c r="A104" s="401" t="s">
        <v>88</v>
      </c>
      <c r="B104" s="73"/>
      <c r="C104" s="123"/>
      <c r="D104" s="73"/>
      <c r="E104" s="73"/>
      <c r="F104" s="73">
        <v>0</v>
      </c>
      <c r="G104" s="73"/>
      <c r="H104" s="5"/>
      <c r="I104" s="5"/>
      <c r="J104" s="74"/>
      <c r="K104" s="73"/>
      <c r="L104" s="73">
        <v>0</v>
      </c>
      <c r="M104" s="73">
        <v>0</v>
      </c>
      <c r="N104" s="5">
        <v>0</v>
      </c>
      <c r="O104" s="266">
        <v>0</v>
      </c>
      <c r="P104" s="266">
        <v>7</v>
      </c>
      <c r="Q104" s="318">
        <v>3</v>
      </c>
      <c r="R104" s="318">
        <v>6</v>
      </c>
      <c r="S104" s="352">
        <v>9</v>
      </c>
      <c r="T104" s="318">
        <v>12</v>
      </c>
      <c r="U104" s="318">
        <v>8</v>
      </c>
      <c r="V104" s="276">
        <v>9</v>
      </c>
      <c r="W104" s="74">
        <v>3</v>
      </c>
      <c r="X104" s="5">
        <v>5</v>
      </c>
      <c r="Y104" s="5">
        <v>9</v>
      </c>
      <c r="Z104" s="74">
        <v>12</v>
      </c>
      <c r="AA104" s="74">
        <v>8</v>
      </c>
      <c r="AB104" s="74">
        <v>3</v>
      </c>
      <c r="AC104" s="74">
        <v>9</v>
      </c>
      <c r="AD104" s="74">
        <v>11</v>
      </c>
      <c r="AE104" s="75">
        <v>4</v>
      </c>
      <c r="AF104" s="76" t="str">
        <f t="shared" si="63"/>
        <v xml:space="preserve"> </v>
      </c>
      <c r="AG104" s="193" t="str">
        <f t="shared" si="64"/>
        <v xml:space="preserve"> </v>
      </c>
      <c r="AH104" s="194" t="str">
        <f t="shared" si="65"/>
        <v xml:space="preserve"> </v>
      </c>
      <c r="AI104" s="125">
        <f t="shared" si="66"/>
        <v>8</v>
      </c>
      <c r="AJ104" s="90"/>
      <c r="AK104" s="90"/>
      <c r="AL104" s="95"/>
      <c r="AM104" s="95"/>
      <c r="AN104" s="95"/>
      <c r="AO104" s="95"/>
      <c r="AP104" s="95"/>
      <c r="AQ104" s="95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</row>
    <row r="105" spans="1:178" ht="12" x14ac:dyDescent="0.2">
      <c r="A105" s="401" t="s">
        <v>89</v>
      </c>
      <c r="B105" s="136">
        <v>0</v>
      </c>
      <c r="C105" s="73">
        <v>0</v>
      </c>
      <c r="D105" s="136"/>
      <c r="E105" s="136">
        <v>0</v>
      </c>
      <c r="F105" s="136">
        <v>0</v>
      </c>
      <c r="G105" s="122">
        <v>0</v>
      </c>
      <c r="H105" s="5">
        <v>0</v>
      </c>
      <c r="I105" s="5">
        <v>0</v>
      </c>
      <c r="J105" s="122">
        <v>1</v>
      </c>
      <c r="K105" s="122">
        <v>3</v>
      </c>
      <c r="L105" s="122">
        <v>7</v>
      </c>
      <c r="M105" s="122">
        <v>7</v>
      </c>
      <c r="N105" s="5">
        <v>4</v>
      </c>
      <c r="O105" s="266">
        <v>4</v>
      </c>
      <c r="P105" s="266">
        <v>9</v>
      </c>
      <c r="Q105" s="337">
        <v>4</v>
      </c>
      <c r="R105" s="337">
        <v>3</v>
      </c>
      <c r="S105" s="352">
        <v>6</v>
      </c>
      <c r="T105" s="337">
        <v>3</v>
      </c>
      <c r="U105" s="337">
        <v>4</v>
      </c>
      <c r="V105" s="349">
        <v>4</v>
      </c>
      <c r="W105" s="4">
        <v>2</v>
      </c>
      <c r="X105" s="5">
        <v>5</v>
      </c>
      <c r="Y105" s="5">
        <v>1</v>
      </c>
      <c r="Z105" s="4">
        <v>1</v>
      </c>
      <c r="AA105" s="4">
        <v>0</v>
      </c>
      <c r="AB105" s="4">
        <v>6</v>
      </c>
      <c r="AC105" s="4">
        <v>3</v>
      </c>
      <c r="AD105" s="4">
        <v>4</v>
      </c>
      <c r="AE105" s="137">
        <v>1</v>
      </c>
      <c r="AF105" s="76" t="str">
        <f t="shared" si="63"/>
        <v xml:space="preserve"> </v>
      </c>
      <c r="AG105" s="193" t="str">
        <f t="shared" si="64"/>
        <v xml:space="preserve"> </v>
      </c>
      <c r="AH105" s="194" t="str">
        <f t="shared" si="65"/>
        <v xml:space="preserve"> </v>
      </c>
      <c r="AI105" s="125">
        <f t="shared" si="66"/>
        <v>2.6666666666666665</v>
      </c>
      <c r="AJ105" s="90"/>
      <c r="AK105" s="90"/>
      <c r="AL105" s="95"/>
      <c r="AM105" s="95"/>
      <c r="AN105" s="95"/>
      <c r="AO105" s="95"/>
      <c r="AP105" s="95"/>
      <c r="AQ105" s="95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</row>
    <row r="106" spans="1:178" ht="12.75" thickBot="1" x14ac:dyDescent="0.25">
      <c r="A106" s="446" t="s">
        <v>77</v>
      </c>
      <c r="B106" s="138">
        <f>+B103+B104+B105</f>
        <v>0</v>
      </c>
      <c r="C106" s="138">
        <f t="shared" ref="C106:AE106" si="67">+C103+C104+C105</f>
        <v>0</v>
      </c>
      <c r="D106" s="138">
        <f t="shared" si="67"/>
        <v>0</v>
      </c>
      <c r="E106" s="138">
        <f t="shared" si="67"/>
        <v>0</v>
      </c>
      <c r="F106" s="138">
        <f t="shared" si="67"/>
        <v>0</v>
      </c>
      <c r="G106" s="138">
        <f t="shared" si="67"/>
        <v>0</v>
      </c>
      <c r="H106" s="138">
        <f t="shared" si="67"/>
        <v>0</v>
      </c>
      <c r="I106" s="138">
        <f t="shared" si="67"/>
        <v>0</v>
      </c>
      <c r="J106" s="138">
        <f t="shared" si="67"/>
        <v>1</v>
      </c>
      <c r="K106" s="138">
        <f t="shared" si="67"/>
        <v>3</v>
      </c>
      <c r="L106" s="138">
        <f t="shared" si="67"/>
        <v>7</v>
      </c>
      <c r="M106" s="138">
        <f t="shared" si="67"/>
        <v>7</v>
      </c>
      <c r="N106" s="138">
        <f t="shared" si="67"/>
        <v>4</v>
      </c>
      <c r="O106" s="294">
        <f t="shared" si="67"/>
        <v>4</v>
      </c>
      <c r="P106" s="294">
        <f t="shared" si="67"/>
        <v>16</v>
      </c>
      <c r="Q106" s="328">
        <f t="shared" si="67"/>
        <v>7</v>
      </c>
      <c r="R106" s="328">
        <f t="shared" si="67"/>
        <v>9</v>
      </c>
      <c r="S106" s="328">
        <f t="shared" si="67"/>
        <v>17</v>
      </c>
      <c r="T106" s="328">
        <f t="shared" si="67"/>
        <v>17</v>
      </c>
      <c r="U106" s="328">
        <f t="shared" si="67"/>
        <v>18</v>
      </c>
      <c r="V106" s="187">
        <f t="shared" si="67"/>
        <v>17</v>
      </c>
      <c r="W106" s="138">
        <f t="shared" si="67"/>
        <v>10</v>
      </c>
      <c r="X106" s="138">
        <f t="shared" si="67"/>
        <v>12</v>
      </c>
      <c r="Y106" s="138">
        <f t="shared" si="67"/>
        <v>14</v>
      </c>
      <c r="Z106" s="138">
        <f t="shared" ref="Z106:AD106" si="68">+Z103+Z104+Z105</f>
        <v>15</v>
      </c>
      <c r="AA106" s="138">
        <f t="shared" si="68"/>
        <v>14</v>
      </c>
      <c r="AB106" s="138">
        <f t="shared" si="68"/>
        <v>12</v>
      </c>
      <c r="AC106" s="138">
        <f t="shared" si="68"/>
        <v>15</v>
      </c>
      <c r="AD106" s="138">
        <f t="shared" si="68"/>
        <v>18</v>
      </c>
      <c r="AE106" s="138">
        <f t="shared" si="67"/>
        <v>9</v>
      </c>
      <c r="AF106" s="138" t="str">
        <f t="shared" si="63"/>
        <v xml:space="preserve"> </v>
      </c>
      <c r="AG106" s="138" t="str">
        <f t="shared" si="64"/>
        <v xml:space="preserve"> </v>
      </c>
      <c r="AH106" s="138" t="str">
        <f t="shared" si="65"/>
        <v xml:space="preserve"> </v>
      </c>
      <c r="AI106" s="138">
        <f t="shared" si="66"/>
        <v>14</v>
      </c>
      <c r="AJ106" s="90"/>
      <c r="AK106" s="90"/>
      <c r="AL106" s="95"/>
      <c r="AM106" s="95"/>
      <c r="AN106" s="95"/>
      <c r="AO106" s="95"/>
      <c r="AP106" s="95"/>
      <c r="AQ106" s="95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</row>
    <row r="107" spans="1:178" s="544" customFormat="1" ht="13.5" thickTop="1" thickBot="1" x14ac:dyDescent="0.25">
      <c r="A107" s="420" t="s">
        <v>78</v>
      </c>
      <c r="B107" s="538"/>
      <c r="C107" s="538"/>
      <c r="D107" s="539"/>
      <c r="E107" s="539"/>
      <c r="F107" s="538"/>
      <c r="G107" s="538"/>
      <c r="H107" s="538"/>
      <c r="I107" s="538"/>
      <c r="J107" s="538"/>
      <c r="K107" s="538"/>
      <c r="L107" s="538"/>
      <c r="M107" s="538"/>
      <c r="N107" s="538"/>
      <c r="O107" s="538"/>
      <c r="P107" s="540"/>
      <c r="Q107" s="540"/>
      <c r="R107" s="540"/>
      <c r="S107" s="540"/>
      <c r="T107" s="540"/>
      <c r="U107" s="540"/>
      <c r="V107" s="540"/>
      <c r="W107" s="540"/>
      <c r="X107" s="540"/>
      <c r="Y107" s="540"/>
      <c r="Z107" s="540"/>
      <c r="AA107" s="540"/>
      <c r="AB107" s="540"/>
      <c r="AC107" s="540"/>
      <c r="AD107" s="28"/>
      <c r="AE107" s="28"/>
      <c r="AF107" s="29"/>
      <c r="AG107" s="29"/>
      <c r="AH107" s="29"/>
      <c r="AI107" s="541"/>
      <c r="AJ107" s="542"/>
      <c r="AK107" s="542"/>
      <c r="AL107" s="543"/>
      <c r="AM107" s="543"/>
      <c r="AN107" s="543"/>
      <c r="AO107" s="543"/>
      <c r="AP107" s="543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</row>
    <row r="108" spans="1:178" s="544" customFormat="1" ht="13.5" thickTop="1" thickBot="1" x14ac:dyDescent="0.25">
      <c r="A108" s="401" t="s">
        <v>167</v>
      </c>
      <c r="B108" s="545"/>
      <c r="C108" s="545"/>
      <c r="D108" s="546"/>
      <c r="E108" s="546"/>
      <c r="F108" s="545"/>
      <c r="G108" s="545"/>
      <c r="H108" s="545"/>
      <c r="I108" s="545"/>
      <c r="J108" s="545"/>
      <c r="K108" s="545"/>
      <c r="L108" s="545"/>
      <c r="M108" s="545"/>
      <c r="N108" s="545"/>
      <c r="O108" s="545"/>
      <c r="P108" s="547"/>
      <c r="Q108" s="547"/>
      <c r="R108" s="547"/>
      <c r="S108" s="547"/>
      <c r="T108" s="547"/>
      <c r="U108" s="588"/>
      <c r="V108" s="530"/>
      <c r="W108" s="531"/>
      <c r="X108" s="531"/>
      <c r="Y108" s="531"/>
      <c r="Z108" s="603">
        <v>10</v>
      </c>
      <c r="AA108" s="603">
        <v>17</v>
      </c>
      <c r="AB108" s="603">
        <v>4</v>
      </c>
      <c r="AC108" s="603">
        <v>12</v>
      </c>
      <c r="AD108" s="603">
        <v>16</v>
      </c>
      <c r="AE108" s="532">
        <v>13</v>
      </c>
      <c r="AF108" s="345" t="str">
        <f>IF(AE108=0," ",IF(AI108&gt;20,(AE108-AD108)/AD108," "))</f>
        <v xml:space="preserve"> </v>
      </c>
      <c r="AG108" s="346" t="str">
        <f>IF(AE108=0," ",IF(AI108&gt;20,(AE108-Z108)/Z108," "))</f>
        <v xml:space="preserve"> </v>
      </c>
      <c r="AH108" s="347" t="str">
        <f>IF(AE108=0," ",(IF(AI108&gt;20,(AE108-U108)/U108," ")))</f>
        <v xml:space="preserve"> </v>
      </c>
      <c r="AI108" s="247">
        <f>IF(AC108&gt;0,AVERAGE(AC108:AE108),"  ")</f>
        <v>13.666666666666666</v>
      </c>
      <c r="AJ108" s="542"/>
      <c r="AK108" s="542"/>
      <c r="AL108" s="543"/>
      <c r="AM108" s="543"/>
      <c r="AN108" s="543"/>
      <c r="AO108" s="543"/>
      <c r="AP108" s="543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</row>
    <row r="109" spans="1:178" s="544" customFormat="1" ht="12.75" thickTop="1" x14ac:dyDescent="0.2">
      <c r="A109" s="549" t="s">
        <v>168</v>
      </c>
      <c r="B109" s="538"/>
      <c r="C109" s="538"/>
      <c r="D109" s="539"/>
      <c r="E109" s="539"/>
      <c r="F109" s="538"/>
      <c r="G109" s="538"/>
      <c r="H109" s="538"/>
      <c r="I109" s="538"/>
      <c r="J109" s="538"/>
      <c r="K109" s="538"/>
      <c r="L109" s="538"/>
      <c r="M109" s="538"/>
      <c r="N109" s="538"/>
      <c r="O109" s="538"/>
      <c r="P109" s="540"/>
      <c r="Q109" s="540"/>
      <c r="R109" s="540"/>
      <c r="S109" s="540"/>
      <c r="T109" s="540"/>
      <c r="U109" s="571">
        <v>27</v>
      </c>
      <c r="V109" s="572"/>
      <c r="W109" s="573"/>
      <c r="X109" s="573"/>
      <c r="Y109" s="573"/>
      <c r="Z109" s="580">
        <v>28</v>
      </c>
      <c r="AA109" s="580">
        <v>14</v>
      </c>
      <c r="AB109" s="580">
        <v>28</v>
      </c>
      <c r="AC109" s="580">
        <v>20</v>
      </c>
      <c r="AD109" s="580">
        <v>19</v>
      </c>
      <c r="AE109" s="515">
        <v>22</v>
      </c>
      <c r="AF109" s="550"/>
      <c r="AG109" s="551"/>
      <c r="AH109" s="552"/>
      <c r="AI109" s="553"/>
      <c r="AJ109" s="542"/>
      <c r="AK109" s="542"/>
      <c r="AL109" s="543"/>
      <c r="AM109" s="543"/>
      <c r="AN109" s="543"/>
      <c r="AO109" s="543"/>
      <c r="AP109" s="543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</row>
    <row r="110" spans="1:178" ht="12.75" thickBot="1" x14ac:dyDescent="0.25">
      <c r="A110" s="563" t="s">
        <v>90</v>
      </c>
      <c r="B110" s="564">
        <v>30</v>
      </c>
      <c r="C110" s="564">
        <v>32</v>
      </c>
      <c r="D110" s="565">
        <v>35</v>
      </c>
      <c r="E110" s="565">
        <v>37</v>
      </c>
      <c r="F110" s="564">
        <v>38</v>
      </c>
      <c r="G110" s="564">
        <v>28</v>
      </c>
      <c r="H110" s="564">
        <v>35</v>
      </c>
      <c r="I110" s="564">
        <v>39</v>
      </c>
      <c r="J110" s="564">
        <v>46</v>
      </c>
      <c r="K110" s="564">
        <v>51</v>
      </c>
      <c r="L110" s="564">
        <v>37</v>
      </c>
      <c r="M110" s="564">
        <v>39</v>
      </c>
      <c r="N110" s="564">
        <v>38</v>
      </c>
      <c r="O110" s="566">
        <v>49</v>
      </c>
      <c r="P110" s="566">
        <v>41</v>
      </c>
      <c r="Q110" s="567">
        <v>32</v>
      </c>
      <c r="R110" s="567">
        <v>37</v>
      </c>
      <c r="S110" s="567">
        <v>21</v>
      </c>
      <c r="T110" s="567">
        <v>26</v>
      </c>
      <c r="U110" s="567">
        <f>U109</f>
        <v>27</v>
      </c>
      <c r="V110" s="568">
        <v>30</v>
      </c>
      <c r="W110" s="564">
        <v>27</v>
      </c>
      <c r="X110" s="564">
        <v>40</v>
      </c>
      <c r="Y110" s="564">
        <v>36</v>
      </c>
      <c r="Z110" s="569">
        <f>Z108+Z109</f>
        <v>38</v>
      </c>
      <c r="AA110" s="569">
        <f t="shared" ref="AA110:AD110" si="69">AA109+AA108</f>
        <v>31</v>
      </c>
      <c r="AB110" s="569">
        <f t="shared" si="69"/>
        <v>32</v>
      </c>
      <c r="AC110" s="569">
        <f>AC109+AC108</f>
        <v>32</v>
      </c>
      <c r="AD110" s="569">
        <f t="shared" si="69"/>
        <v>35</v>
      </c>
      <c r="AE110" s="569">
        <f>AE108+AE109</f>
        <v>35</v>
      </c>
      <c r="AF110" s="570">
        <f t="shared" si="63"/>
        <v>0</v>
      </c>
      <c r="AG110" s="570">
        <f t="shared" si="64"/>
        <v>-7.8947368421052627E-2</v>
      </c>
      <c r="AH110" s="570">
        <f t="shared" si="65"/>
        <v>0.29629629629629628</v>
      </c>
      <c r="AI110" s="569">
        <f t="shared" si="66"/>
        <v>34</v>
      </c>
      <c r="AJ110" s="90"/>
      <c r="AK110" s="90"/>
      <c r="AL110" s="95"/>
      <c r="AM110" s="95"/>
      <c r="AN110" s="95"/>
      <c r="AO110" s="95"/>
      <c r="AP110" s="95"/>
      <c r="AQ110" s="95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</row>
    <row r="111" spans="1:178" ht="12.75" thickTop="1" x14ac:dyDescent="0.2">
      <c r="A111" s="447" t="s">
        <v>80</v>
      </c>
      <c r="B111" s="139"/>
      <c r="C111" s="139"/>
      <c r="D111" s="140"/>
      <c r="E111" s="140"/>
      <c r="F111" s="139"/>
      <c r="G111" s="141"/>
      <c r="H111" s="141"/>
      <c r="I111" s="141"/>
      <c r="J111" s="139"/>
      <c r="K111" s="139"/>
      <c r="L111" s="139"/>
      <c r="M111" s="139"/>
      <c r="N111" s="139"/>
      <c r="O111" s="139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3"/>
      <c r="AA111" s="143"/>
      <c r="AB111" s="143"/>
      <c r="AC111" s="143"/>
      <c r="AD111" s="143"/>
      <c r="AE111" s="143"/>
      <c r="AF111" s="257"/>
      <c r="AG111" s="257"/>
      <c r="AH111" s="258"/>
      <c r="AI111" s="259"/>
      <c r="AJ111" s="90"/>
      <c r="AK111" s="90"/>
      <c r="AL111" s="95"/>
      <c r="AM111" s="95"/>
      <c r="AN111" s="95"/>
      <c r="AO111" s="95"/>
      <c r="AP111" s="95"/>
      <c r="AQ111" s="95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</row>
    <row r="112" spans="1:178" ht="12" x14ac:dyDescent="0.2">
      <c r="A112" s="574" t="s">
        <v>169</v>
      </c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34"/>
      <c r="N112" s="134"/>
      <c r="O112" s="295"/>
      <c r="P112" s="295"/>
      <c r="Q112" s="336"/>
      <c r="R112" s="336">
        <v>0</v>
      </c>
      <c r="S112" s="336"/>
      <c r="T112" s="336">
        <v>0</v>
      </c>
      <c r="U112" s="588">
        <v>0</v>
      </c>
      <c r="V112" s="188"/>
      <c r="W112" s="134"/>
      <c r="X112" s="93"/>
      <c r="Y112" s="93">
        <v>6</v>
      </c>
      <c r="Z112" s="134">
        <v>0</v>
      </c>
      <c r="AA112" s="134">
        <v>6</v>
      </c>
      <c r="AB112" s="134">
        <v>4</v>
      </c>
      <c r="AC112" s="134">
        <v>4</v>
      </c>
      <c r="AD112" s="134">
        <v>5</v>
      </c>
      <c r="AE112" s="145">
        <v>9</v>
      </c>
      <c r="AF112" s="345" t="str">
        <f t="shared" ref="AF112:AF120" si="70">IF(AE112=0," ",IF(AI112&gt;20,(AE112-AD112)/AD112," "))</f>
        <v xml:space="preserve"> </v>
      </c>
      <c r="AG112" s="346" t="str">
        <f t="shared" ref="AG112:AG120" si="71">IF(AE112=0," ",IF(AI112&gt;20,(AE112-Z112)/Z112," "))</f>
        <v xml:space="preserve"> </v>
      </c>
      <c r="AH112" s="347" t="str">
        <f t="shared" ref="AH112:AH120" si="72">IF(AE112=0," ",(IF(AI112&gt;20,(AE112-U112)/U112," ")))</f>
        <v xml:space="preserve"> </v>
      </c>
      <c r="AI112" s="247">
        <f t="shared" ref="AI112:AI120" si="73">IF(AC112&gt;0,AVERAGE(AC112:AE112),"  ")</f>
        <v>6</v>
      </c>
    </row>
    <row r="113" spans="1:35" ht="12" x14ac:dyDescent="0.2">
      <c r="A113" s="412" t="s">
        <v>110</v>
      </c>
      <c r="B113" s="73">
        <v>80</v>
      </c>
      <c r="C113" s="123">
        <v>87</v>
      </c>
      <c r="D113" s="73">
        <v>88</v>
      </c>
      <c r="E113" s="73">
        <v>89</v>
      </c>
      <c r="F113" s="73">
        <v>74</v>
      </c>
      <c r="G113" s="73">
        <v>61</v>
      </c>
      <c r="H113" s="5">
        <v>51</v>
      </c>
      <c r="I113" s="5">
        <v>49</v>
      </c>
      <c r="J113" s="74">
        <v>70</v>
      </c>
      <c r="K113" s="73">
        <v>52</v>
      </c>
      <c r="L113" s="73">
        <v>51</v>
      </c>
      <c r="M113" s="73">
        <v>48</v>
      </c>
      <c r="N113" s="5">
        <v>38</v>
      </c>
      <c r="O113" s="266">
        <v>47</v>
      </c>
      <c r="P113" s="266">
        <v>46</v>
      </c>
      <c r="Q113" s="318">
        <v>35</v>
      </c>
      <c r="R113" s="318">
        <v>26</v>
      </c>
      <c r="S113" s="352">
        <v>36</v>
      </c>
      <c r="T113" s="318">
        <v>33</v>
      </c>
      <c r="U113" s="318">
        <v>32</v>
      </c>
      <c r="V113" s="276">
        <v>38</v>
      </c>
      <c r="W113" s="74">
        <v>28</v>
      </c>
      <c r="X113" s="5">
        <v>27</v>
      </c>
      <c r="Y113" s="5">
        <v>36</v>
      </c>
      <c r="Z113" s="74">
        <v>27</v>
      </c>
      <c r="AA113" s="74">
        <v>29</v>
      </c>
      <c r="AB113" s="74">
        <v>25</v>
      </c>
      <c r="AC113" s="74">
        <v>20</v>
      </c>
      <c r="AD113" s="74">
        <v>18</v>
      </c>
      <c r="AE113" s="75">
        <v>24</v>
      </c>
      <c r="AF113" s="229">
        <f t="shared" si="70"/>
        <v>0.33333333333333331</v>
      </c>
      <c r="AG113" s="230">
        <f t="shared" si="71"/>
        <v>-0.1111111111111111</v>
      </c>
      <c r="AH113" s="231">
        <f t="shared" si="72"/>
        <v>-0.25</v>
      </c>
      <c r="AI113" s="125">
        <f t="shared" si="73"/>
        <v>20.666666666666668</v>
      </c>
    </row>
    <row r="114" spans="1:35" ht="12" x14ac:dyDescent="0.2">
      <c r="A114" s="449" t="s">
        <v>32</v>
      </c>
      <c r="B114" s="136"/>
      <c r="C114" s="73"/>
      <c r="D114" s="136"/>
      <c r="E114" s="136"/>
      <c r="F114" s="136"/>
      <c r="G114" s="122"/>
      <c r="H114" s="5"/>
      <c r="I114" s="5"/>
      <c r="J114" s="122"/>
      <c r="K114" s="122">
        <v>1</v>
      </c>
      <c r="L114" s="122">
        <v>0</v>
      </c>
      <c r="M114" s="122">
        <v>3</v>
      </c>
      <c r="N114" s="5">
        <v>7</v>
      </c>
      <c r="O114" s="266">
        <v>9</v>
      </c>
      <c r="P114" s="266">
        <v>5</v>
      </c>
      <c r="Q114" s="337">
        <v>12</v>
      </c>
      <c r="R114" s="337">
        <v>7</v>
      </c>
      <c r="S114" s="352">
        <v>11</v>
      </c>
      <c r="T114" s="337">
        <v>12</v>
      </c>
      <c r="U114" s="337">
        <v>7</v>
      </c>
      <c r="V114" s="349">
        <v>4</v>
      </c>
      <c r="W114" s="4">
        <v>3</v>
      </c>
      <c r="X114" s="5">
        <v>8</v>
      </c>
      <c r="Y114" s="5">
        <v>8</v>
      </c>
      <c r="Z114" s="4">
        <v>4</v>
      </c>
      <c r="AA114" s="4">
        <v>7</v>
      </c>
      <c r="AB114" s="4">
        <v>6</v>
      </c>
      <c r="AC114" s="4">
        <v>5</v>
      </c>
      <c r="AD114" s="4">
        <v>4</v>
      </c>
      <c r="AE114" s="137">
        <v>8</v>
      </c>
      <c r="AF114" s="229" t="str">
        <f t="shared" si="70"/>
        <v xml:space="preserve"> </v>
      </c>
      <c r="AG114" s="230" t="str">
        <f t="shared" si="71"/>
        <v xml:space="preserve"> </v>
      </c>
      <c r="AH114" s="231" t="str">
        <f t="shared" si="72"/>
        <v xml:space="preserve"> </v>
      </c>
      <c r="AI114" s="125">
        <f t="shared" si="73"/>
        <v>5.666666666666667</v>
      </c>
    </row>
    <row r="115" spans="1:35" ht="12" x14ac:dyDescent="0.2">
      <c r="A115" s="448" t="s">
        <v>91</v>
      </c>
      <c r="B115" s="582"/>
      <c r="C115" s="582"/>
      <c r="D115" s="582"/>
      <c r="E115" s="582">
        <v>6</v>
      </c>
      <c r="F115" s="582">
        <v>21</v>
      </c>
      <c r="G115" s="519">
        <v>9</v>
      </c>
      <c r="H115" s="7">
        <v>11</v>
      </c>
      <c r="I115" s="7">
        <v>13</v>
      </c>
      <c r="J115" s="519">
        <v>13</v>
      </c>
      <c r="K115" s="519">
        <v>15</v>
      </c>
      <c r="L115" s="519">
        <v>11</v>
      </c>
      <c r="M115" s="519">
        <v>15</v>
      </c>
      <c r="N115" s="7">
        <v>2</v>
      </c>
      <c r="O115" s="267">
        <v>12</v>
      </c>
      <c r="P115" s="267">
        <v>12</v>
      </c>
      <c r="Q115" s="338">
        <v>13</v>
      </c>
      <c r="R115" s="338">
        <v>12</v>
      </c>
      <c r="S115" s="353">
        <v>13</v>
      </c>
      <c r="T115" s="338">
        <v>17</v>
      </c>
      <c r="U115" s="338">
        <v>9</v>
      </c>
      <c r="V115" s="350">
        <v>14</v>
      </c>
      <c r="W115" s="8">
        <v>6</v>
      </c>
      <c r="X115" s="7">
        <v>7</v>
      </c>
      <c r="Y115" s="7">
        <v>6</v>
      </c>
      <c r="Z115" s="8">
        <v>5</v>
      </c>
      <c r="AA115" s="8">
        <v>4</v>
      </c>
      <c r="AB115" s="8">
        <v>4</v>
      </c>
      <c r="AC115" s="8">
        <v>1</v>
      </c>
      <c r="AD115" s="8">
        <v>6</v>
      </c>
      <c r="AE115" s="250">
        <v>2</v>
      </c>
      <c r="AF115" s="232" t="str">
        <f t="shared" si="70"/>
        <v xml:space="preserve"> </v>
      </c>
      <c r="AG115" s="233" t="str">
        <f t="shared" si="71"/>
        <v xml:space="preserve"> </v>
      </c>
      <c r="AH115" s="234" t="str">
        <f t="shared" si="72"/>
        <v xml:space="preserve"> </v>
      </c>
      <c r="AI115" s="246">
        <f t="shared" si="73"/>
        <v>3</v>
      </c>
    </row>
    <row r="116" spans="1:35" ht="12" x14ac:dyDescent="0.2">
      <c r="A116" s="449" t="s">
        <v>101</v>
      </c>
      <c r="B116" s="122"/>
      <c r="C116" s="156">
        <v>0</v>
      </c>
      <c r="D116" s="122">
        <v>8</v>
      </c>
      <c r="E116" s="122">
        <v>11</v>
      </c>
      <c r="F116" s="122">
        <v>12</v>
      </c>
      <c r="G116" s="122">
        <v>9</v>
      </c>
      <c r="H116" s="5">
        <v>8</v>
      </c>
      <c r="I116" s="5">
        <v>15</v>
      </c>
      <c r="J116" s="122">
        <v>11</v>
      </c>
      <c r="K116" s="122">
        <v>16</v>
      </c>
      <c r="L116" s="122">
        <v>9</v>
      </c>
      <c r="M116" s="122">
        <v>6</v>
      </c>
      <c r="N116" s="5">
        <v>12</v>
      </c>
      <c r="O116" s="266">
        <v>14</v>
      </c>
      <c r="P116" s="266">
        <v>7</v>
      </c>
      <c r="Q116" s="337">
        <v>6</v>
      </c>
      <c r="R116" s="337">
        <v>11</v>
      </c>
      <c r="S116" s="352">
        <v>11</v>
      </c>
      <c r="T116" s="337">
        <v>21</v>
      </c>
      <c r="U116" s="337">
        <v>14</v>
      </c>
      <c r="V116" s="349">
        <v>14</v>
      </c>
      <c r="W116" s="4">
        <v>10</v>
      </c>
      <c r="X116" s="5">
        <v>13</v>
      </c>
      <c r="Y116" s="5">
        <v>11</v>
      </c>
      <c r="Z116" s="4">
        <v>8</v>
      </c>
      <c r="AA116" s="4">
        <v>13</v>
      </c>
      <c r="AB116" s="4">
        <v>17</v>
      </c>
      <c r="AC116" s="4">
        <v>5</v>
      </c>
      <c r="AD116" s="4">
        <v>7</v>
      </c>
      <c r="AE116" s="137">
        <v>12</v>
      </c>
      <c r="AF116" s="229" t="str">
        <f t="shared" si="70"/>
        <v xml:space="preserve"> </v>
      </c>
      <c r="AG116" s="230" t="str">
        <f t="shared" si="71"/>
        <v xml:space="preserve"> </v>
      </c>
      <c r="AH116" s="231" t="str">
        <f t="shared" si="72"/>
        <v xml:space="preserve"> </v>
      </c>
      <c r="AI116" s="125">
        <f t="shared" si="73"/>
        <v>8</v>
      </c>
    </row>
    <row r="117" spans="1:35" ht="12" x14ac:dyDescent="0.2">
      <c r="A117" s="449" t="s">
        <v>102</v>
      </c>
      <c r="B117" s="122"/>
      <c r="C117" s="156"/>
      <c r="D117" s="122"/>
      <c r="E117" s="122"/>
      <c r="F117" s="122"/>
      <c r="G117" s="122"/>
      <c r="H117" s="5"/>
      <c r="I117" s="5"/>
      <c r="J117" s="122"/>
      <c r="K117" s="122"/>
      <c r="L117" s="122"/>
      <c r="M117" s="122"/>
      <c r="N117" s="5"/>
      <c r="O117" s="266"/>
      <c r="P117" s="266"/>
      <c r="Q117" s="337"/>
      <c r="R117" s="337">
        <v>0</v>
      </c>
      <c r="S117" s="352">
        <v>0</v>
      </c>
      <c r="T117" s="337">
        <v>0</v>
      </c>
      <c r="U117" s="337">
        <v>0</v>
      </c>
      <c r="V117" s="349"/>
      <c r="W117" s="4"/>
      <c r="X117" s="5">
        <v>0</v>
      </c>
      <c r="Y117" s="5">
        <v>0</v>
      </c>
      <c r="Z117" s="4">
        <v>1</v>
      </c>
      <c r="AA117" s="4">
        <v>2</v>
      </c>
      <c r="AB117" s="4">
        <v>12</v>
      </c>
      <c r="AC117" s="4">
        <v>4</v>
      </c>
      <c r="AD117" s="4">
        <v>3</v>
      </c>
      <c r="AE117" s="137">
        <v>5</v>
      </c>
      <c r="AF117" s="229" t="str">
        <f t="shared" si="70"/>
        <v xml:space="preserve"> </v>
      </c>
      <c r="AG117" s="230" t="str">
        <f t="shared" si="71"/>
        <v xml:space="preserve"> </v>
      </c>
      <c r="AH117" s="231" t="str">
        <f t="shared" si="72"/>
        <v xml:space="preserve"> </v>
      </c>
      <c r="AI117" s="125">
        <f t="shared" si="73"/>
        <v>4</v>
      </c>
    </row>
    <row r="118" spans="1:35" ht="12" x14ac:dyDescent="0.2">
      <c r="A118" s="449" t="s">
        <v>109</v>
      </c>
      <c r="B118" s="122"/>
      <c r="C118" s="156"/>
      <c r="D118" s="122"/>
      <c r="E118" s="122"/>
      <c r="F118" s="122"/>
      <c r="G118" s="122"/>
      <c r="H118" s="5"/>
      <c r="I118" s="5"/>
      <c r="J118" s="122"/>
      <c r="K118" s="122"/>
      <c r="L118" s="122"/>
      <c r="M118" s="122"/>
      <c r="N118" s="5"/>
      <c r="O118" s="266"/>
      <c r="P118" s="266"/>
      <c r="Q118" s="337"/>
      <c r="R118" s="337">
        <v>0</v>
      </c>
      <c r="S118" s="352">
        <v>0</v>
      </c>
      <c r="T118" s="337">
        <v>0</v>
      </c>
      <c r="U118" s="337">
        <v>0</v>
      </c>
      <c r="V118" s="349"/>
      <c r="W118" s="4"/>
      <c r="X118" s="5">
        <v>0</v>
      </c>
      <c r="Y118" s="5">
        <v>0</v>
      </c>
      <c r="Z118" s="4">
        <v>0</v>
      </c>
      <c r="AA118" s="4">
        <v>0</v>
      </c>
      <c r="AB118" s="4">
        <v>0</v>
      </c>
      <c r="AC118" s="4">
        <v>1</v>
      </c>
      <c r="AD118" s="4">
        <v>0</v>
      </c>
      <c r="AE118" s="137">
        <v>1</v>
      </c>
      <c r="AF118" s="229" t="str">
        <f t="shared" si="70"/>
        <v xml:space="preserve"> </v>
      </c>
      <c r="AG118" s="230" t="str">
        <f t="shared" si="71"/>
        <v xml:space="preserve"> </v>
      </c>
      <c r="AH118" s="231" t="str">
        <f t="shared" si="72"/>
        <v xml:space="preserve"> </v>
      </c>
      <c r="AI118" s="125">
        <f t="shared" si="73"/>
        <v>0.66666666666666663</v>
      </c>
    </row>
    <row r="119" spans="1:35" ht="12" x14ac:dyDescent="0.2">
      <c r="A119" s="575" t="s">
        <v>111</v>
      </c>
      <c r="B119" s="576"/>
      <c r="C119" s="577"/>
      <c r="D119" s="576"/>
      <c r="E119" s="576"/>
      <c r="F119" s="576"/>
      <c r="G119" s="576"/>
      <c r="H119" s="94"/>
      <c r="I119" s="94"/>
      <c r="J119" s="576"/>
      <c r="K119" s="576"/>
      <c r="L119" s="576"/>
      <c r="M119" s="576"/>
      <c r="N119" s="94"/>
      <c r="O119" s="274"/>
      <c r="P119" s="274"/>
      <c r="Q119" s="578"/>
      <c r="R119" s="578">
        <v>0</v>
      </c>
      <c r="S119" s="357">
        <v>0</v>
      </c>
      <c r="T119" s="578">
        <v>0</v>
      </c>
      <c r="U119" s="578">
        <v>0</v>
      </c>
      <c r="V119" s="579"/>
      <c r="W119" s="580"/>
      <c r="X119" s="94">
        <v>0</v>
      </c>
      <c r="Y119" s="94">
        <v>0</v>
      </c>
      <c r="Z119" s="580">
        <v>0</v>
      </c>
      <c r="AA119" s="580">
        <v>0</v>
      </c>
      <c r="AB119" s="580">
        <v>0</v>
      </c>
      <c r="AC119" s="580">
        <v>1</v>
      </c>
      <c r="AD119" s="580">
        <v>0</v>
      </c>
      <c r="AE119" s="581">
        <v>0</v>
      </c>
      <c r="AF119" s="557" t="str">
        <f t="shared" si="70"/>
        <v xml:space="preserve"> </v>
      </c>
      <c r="AG119" s="558" t="str">
        <f t="shared" si="71"/>
        <v xml:space="preserve"> </v>
      </c>
      <c r="AH119" s="559" t="str">
        <f t="shared" si="72"/>
        <v xml:space="preserve"> </v>
      </c>
      <c r="AI119" s="553">
        <f t="shared" si="73"/>
        <v>0.33333333333333331</v>
      </c>
    </row>
    <row r="120" spans="1:35" ht="12.75" thickBot="1" x14ac:dyDescent="0.25">
      <c r="A120" s="450" t="s">
        <v>81</v>
      </c>
      <c r="B120" s="157">
        <f>SUM(B112:B119)</f>
        <v>80</v>
      </c>
      <c r="C120" s="157">
        <f t="shared" ref="C120:Z120" si="74">SUM(C112:C119)</f>
        <v>87</v>
      </c>
      <c r="D120" s="157">
        <f t="shared" si="74"/>
        <v>96</v>
      </c>
      <c r="E120" s="157">
        <f t="shared" si="74"/>
        <v>106</v>
      </c>
      <c r="F120" s="157">
        <f t="shared" si="74"/>
        <v>107</v>
      </c>
      <c r="G120" s="157">
        <f t="shared" si="74"/>
        <v>79</v>
      </c>
      <c r="H120" s="157">
        <f t="shared" si="74"/>
        <v>70</v>
      </c>
      <c r="I120" s="157">
        <f t="shared" si="74"/>
        <v>77</v>
      </c>
      <c r="J120" s="157">
        <f t="shared" si="74"/>
        <v>94</v>
      </c>
      <c r="K120" s="157">
        <f t="shared" si="74"/>
        <v>84</v>
      </c>
      <c r="L120" s="157">
        <f t="shared" si="74"/>
        <v>71</v>
      </c>
      <c r="M120" s="157">
        <f t="shared" si="74"/>
        <v>72</v>
      </c>
      <c r="N120" s="157">
        <f t="shared" si="74"/>
        <v>59</v>
      </c>
      <c r="O120" s="157">
        <f t="shared" si="74"/>
        <v>82</v>
      </c>
      <c r="P120" s="296">
        <f t="shared" si="74"/>
        <v>70</v>
      </c>
      <c r="Q120" s="339">
        <f t="shared" si="74"/>
        <v>66</v>
      </c>
      <c r="R120" s="339">
        <f t="shared" si="74"/>
        <v>56</v>
      </c>
      <c r="S120" s="339">
        <f t="shared" si="74"/>
        <v>71</v>
      </c>
      <c r="T120" s="339">
        <f t="shared" si="74"/>
        <v>83</v>
      </c>
      <c r="U120" s="339">
        <f t="shared" si="74"/>
        <v>62</v>
      </c>
      <c r="V120" s="189">
        <f t="shared" si="74"/>
        <v>70</v>
      </c>
      <c r="W120" s="157">
        <f t="shared" si="74"/>
        <v>47</v>
      </c>
      <c r="X120" s="157">
        <f t="shared" si="74"/>
        <v>55</v>
      </c>
      <c r="Y120" s="157">
        <f t="shared" si="74"/>
        <v>67</v>
      </c>
      <c r="Z120" s="157">
        <f t="shared" si="74"/>
        <v>45</v>
      </c>
      <c r="AA120" s="157">
        <f t="shared" ref="AA120:AD120" si="75">SUM(AA112:AA119)</f>
        <v>61</v>
      </c>
      <c r="AB120" s="157">
        <f t="shared" si="75"/>
        <v>68</v>
      </c>
      <c r="AC120" s="157">
        <f t="shared" si="75"/>
        <v>41</v>
      </c>
      <c r="AD120" s="157">
        <f t="shared" si="75"/>
        <v>43</v>
      </c>
      <c r="AE120" s="157">
        <f>SUM(AE112:AE119)</f>
        <v>61</v>
      </c>
      <c r="AF120" s="221">
        <f t="shared" si="70"/>
        <v>0.41860465116279072</v>
      </c>
      <c r="AG120" s="221">
        <f t="shared" si="71"/>
        <v>0.35555555555555557</v>
      </c>
      <c r="AH120" s="221">
        <f t="shared" si="72"/>
        <v>-1.6129032258064516E-2</v>
      </c>
      <c r="AI120" s="157">
        <f t="shared" si="73"/>
        <v>48.333333333333336</v>
      </c>
    </row>
    <row r="121" spans="1:35" ht="12.75" thickTop="1" x14ac:dyDescent="0.2">
      <c r="A121" s="451" t="s">
        <v>94</v>
      </c>
      <c r="B121" s="452"/>
      <c r="C121" s="452"/>
      <c r="D121" s="146"/>
      <c r="E121" s="146"/>
      <c r="F121" s="452"/>
      <c r="G121" s="452"/>
      <c r="H121" s="453"/>
      <c r="I121" s="453"/>
      <c r="J121" s="453"/>
      <c r="K121" s="453"/>
      <c r="L121" s="454"/>
      <c r="M121" s="453"/>
      <c r="N121" s="453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8"/>
      <c r="AA121" s="148"/>
      <c r="AB121" s="148"/>
      <c r="AC121" s="148"/>
      <c r="AD121" s="148"/>
      <c r="AE121" s="148"/>
      <c r="AF121" s="148"/>
      <c r="AG121" s="149"/>
      <c r="AH121" s="148"/>
      <c r="AI121" s="255"/>
    </row>
    <row r="122" spans="1:35" ht="12" x14ac:dyDescent="0.2">
      <c r="A122" s="455" t="s">
        <v>50</v>
      </c>
      <c r="B122" s="150">
        <f t="shared" ref="B122:R122" si="76">+B88+B98</f>
        <v>0</v>
      </c>
      <c r="C122" s="150">
        <f t="shared" si="76"/>
        <v>0</v>
      </c>
      <c r="D122" s="150">
        <f t="shared" si="76"/>
        <v>0</v>
      </c>
      <c r="E122" s="150">
        <f t="shared" si="76"/>
        <v>0</v>
      </c>
      <c r="F122" s="150">
        <f t="shared" si="76"/>
        <v>0</v>
      </c>
      <c r="G122" s="150">
        <f t="shared" si="76"/>
        <v>0</v>
      </c>
      <c r="H122" s="150">
        <f t="shared" si="76"/>
        <v>0</v>
      </c>
      <c r="I122" s="150">
        <f t="shared" si="76"/>
        <v>0</v>
      </c>
      <c r="J122" s="150">
        <f t="shared" si="76"/>
        <v>0</v>
      </c>
      <c r="K122" s="150">
        <f t="shared" si="76"/>
        <v>0</v>
      </c>
      <c r="L122" s="150">
        <f t="shared" si="76"/>
        <v>0</v>
      </c>
      <c r="M122" s="150">
        <f t="shared" si="76"/>
        <v>0</v>
      </c>
      <c r="N122" s="150">
        <f t="shared" si="76"/>
        <v>0</v>
      </c>
      <c r="O122" s="297">
        <f t="shared" si="76"/>
        <v>0</v>
      </c>
      <c r="P122" s="297">
        <f t="shared" si="76"/>
        <v>8</v>
      </c>
      <c r="Q122" s="340">
        <f t="shared" si="76"/>
        <v>7</v>
      </c>
      <c r="R122" s="340">
        <f t="shared" si="76"/>
        <v>8</v>
      </c>
      <c r="S122" s="340">
        <f t="shared" ref="S122:AB122" si="77">+S88+S98+S119</f>
        <v>8</v>
      </c>
      <c r="T122" s="340">
        <f t="shared" si="77"/>
        <v>16</v>
      </c>
      <c r="U122" s="340">
        <f t="shared" si="77"/>
        <v>13</v>
      </c>
      <c r="V122" s="190">
        <f t="shared" si="77"/>
        <v>8</v>
      </c>
      <c r="W122" s="150">
        <f t="shared" si="77"/>
        <v>1</v>
      </c>
      <c r="X122" s="150">
        <f t="shared" si="77"/>
        <v>5</v>
      </c>
      <c r="Y122" s="150">
        <f t="shared" si="77"/>
        <v>21</v>
      </c>
      <c r="Z122" s="150">
        <f t="shared" si="77"/>
        <v>10</v>
      </c>
      <c r="AA122" s="150">
        <f t="shared" si="77"/>
        <v>10</v>
      </c>
      <c r="AB122" s="150">
        <f t="shared" si="77"/>
        <v>3</v>
      </c>
      <c r="AC122" s="150">
        <f>+AC118+AC98+AC88</f>
        <v>12</v>
      </c>
      <c r="AD122" s="150">
        <f>+AD118+AD98+AD88</f>
        <v>0</v>
      </c>
      <c r="AE122" s="158">
        <f>+AE118+AE98+AE88</f>
        <v>1</v>
      </c>
      <c r="AF122" s="152" t="str">
        <f t="shared" ref="AF122:AF127" si="78">IF(AE122=0," ",IF(AI122&gt;20,(AE122-AD122)/AD122," "))</f>
        <v xml:space="preserve"> </v>
      </c>
      <c r="AG122" s="224" t="str">
        <f t="shared" ref="AG122:AG127" si="79">IF(AE122=0," ",IF(AI122&gt;20,(AE122-Z122)/Z122," "))</f>
        <v xml:space="preserve"> </v>
      </c>
      <c r="AH122" s="152" t="str">
        <f t="shared" ref="AH122:AH127" si="80">IF(AE122=0," ",(IF(AI122&gt;20,(AE122-U122)/U122," ")))</f>
        <v xml:space="preserve"> </v>
      </c>
      <c r="AI122" s="248">
        <f t="shared" ref="AI122:AI127" si="81">IF(AC122&gt;0,AVERAGE(AC122:AE122),"  ")</f>
        <v>4.333333333333333</v>
      </c>
    </row>
    <row r="123" spans="1:35" ht="12" x14ac:dyDescent="0.2">
      <c r="A123" s="455" t="s">
        <v>31</v>
      </c>
      <c r="B123" s="151">
        <f t="shared" ref="B123:AE123" si="82">+B83+B82+B89+B97+B99+B100+B103+B104+B105+B113+B114+B115+B116+B110+B94</f>
        <v>138</v>
      </c>
      <c r="C123" s="151">
        <f t="shared" si="82"/>
        <v>137</v>
      </c>
      <c r="D123" s="151">
        <f t="shared" si="82"/>
        <v>158</v>
      </c>
      <c r="E123" s="151">
        <f t="shared" si="82"/>
        <v>163</v>
      </c>
      <c r="F123" s="151">
        <f t="shared" si="82"/>
        <v>178</v>
      </c>
      <c r="G123" s="151">
        <f t="shared" si="82"/>
        <v>142</v>
      </c>
      <c r="H123" s="151">
        <f t="shared" si="82"/>
        <v>136</v>
      </c>
      <c r="I123" s="151">
        <f t="shared" si="82"/>
        <v>155</v>
      </c>
      <c r="J123" s="151">
        <f t="shared" si="82"/>
        <v>194</v>
      </c>
      <c r="K123" s="151">
        <f t="shared" si="82"/>
        <v>207</v>
      </c>
      <c r="L123" s="151">
        <f t="shared" si="82"/>
        <v>190</v>
      </c>
      <c r="M123" s="151">
        <f t="shared" si="82"/>
        <v>209</v>
      </c>
      <c r="N123" s="151">
        <f t="shared" si="82"/>
        <v>170</v>
      </c>
      <c r="O123" s="298">
        <f t="shared" si="82"/>
        <v>222</v>
      </c>
      <c r="P123" s="298">
        <f t="shared" si="82"/>
        <v>209</v>
      </c>
      <c r="Q123" s="341">
        <f t="shared" si="82"/>
        <v>213</v>
      </c>
      <c r="R123" s="341">
        <f t="shared" si="82"/>
        <v>225</v>
      </c>
      <c r="S123" s="341">
        <f t="shared" si="82"/>
        <v>245</v>
      </c>
      <c r="T123" s="341">
        <f t="shared" si="82"/>
        <v>281</v>
      </c>
      <c r="U123" s="341">
        <f t="shared" si="82"/>
        <v>258</v>
      </c>
      <c r="V123" s="191">
        <f t="shared" si="82"/>
        <v>262</v>
      </c>
      <c r="W123" s="151">
        <f t="shared" si="82"/>
        <v>271</v>
      </c>
      <c r="X123" s="151">
        <f t="shared" si="82"/>
        <v>308</v>
      </c>
      <c r="Y123" s="151">
        <f t="shared" si="82"/>
        <v>323</v>
      </c>
      <c r="Z123" s="151">
        <f t="shared" si="82"/>
        <v>323</v>
      </c>
      <c r="AA123" s="151">
        <f t="shared" si="82"/>
        <v>324</v>
      </c>
      <c r="AB123" s="151">
        <f t="shared" si="82"/>
        <v>349</v>
      </c>
      <c r="AC123" s="151">
        <f t="shared" si="82"/>
        <v>331</v>
      </c>
      <c r="AD123" s="151">
        <f t="shared" si="82"/>
        <v>287</v>
      </c>
      <c r="AE123" s="159">
        <f t="shared" si="82"/>
        <v>277</v>
      </c>
      <c r="AF123" s="153">
        <f t="shared" si="78"/>
        <v>-3.484320557491289E-2</v>
      </c>
      <c r="AG123" s="225">
        <f t="shared" si="79"/>
        <v>-0.14241486068111456</v>
      </c>
      <c r="AH123" s="153">
        <f t="shared" si="80"/>
        <v>7.3643410852713184E-2</v>
      </c>
      <c r="AI123" s="249">
        <f t="shared" si="81"/>
        <v>298.33333333333331</v>
      </c>
    </row>
    <row r="124" spans="1:35" ht="12" x14ac:dyDescent="0.2">
      <c r="A124" s="455" t="s">
        <v>92</v>
      </c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298"/>
      <c r="P124" s="298"/>
      <c r="Q124" s="341"/>
      <c r="R124" s="341">
        <v>0</v>
      </c>
      <c r="S124" s="341">
        <f t="shared" ref="S124:AB124" si="83">+S119+S117</f>
        <v>0</v>
      </c>
      <c r="T124" s="341">
        <f t="shared" si="83"/>
        <v>0</v>
      </c>
      <c r="U124" s="341">
        <f t="shared" si="83"/>
        <v>0</v>
      </c>
      <c r="V124" s="191">
        <f t="shared" si="83"/>
        <v>0</v>
      </c>
      <c r="W124" s="151">
        <f t="shared" si="83"/>
        <v>0</v>
      </c>
      <c r="X124" s="151">
        <f t="shared" si="83"/>
        <v>0</v>
      </c>
      <c r="Y124" s="151">
        <f t="shared" si="83"/>
        <v>0</v>
      </c>
      <c r="Z124" s="151">
        <f t="shared" si="83"/>
        <v>1</v>
      </c>
      <c r="AA124" s="151">
        <f t="shared" si="83"/>
        <v>2</v>
      </c>
      <c r="AB124" s="151">
        <f t="shared" si="83"/>
        <v>12</v>
      </c>
      <c r="AC124" s="151">
        <f>+AC119+AC117</f>
        <v>5</v>
      </c>
      <c r="AD124" s="151">
        <f>+AD119+AD117</f>
        <v>3</v>
      </c>
      <c r="AE124" s="159">
        <f>+AE119+AE117</f>
        <v>5</v>
      </c>
      <c r="AF124" s="153" t="str">
        <f t="shared" si="78"/>
        <v xml:space="preserve"> </v>
      </c>
      <c r="AG124" s="225" t="str">
        <f t="shared" si="79"/>
        <v xml:space="preserve"> </v>
      </c>
      <c r="AH124" s="153" t="str">
        <f t="shared" si="80"/>
        <v xml:space="preserve"> </v>
      </c>
      <c r="AI124" s="249">
        <f t="shared" si="81"/>
        <v>4.333333333333333</v>
      </c>
    </row>
    <row r="125" spans="1:35" ht="12" x14ac:dyDescent="0.2">
      <c r="A125" s="455" t="s">
        <v>93</v>
      </c>
      <c r="B125" s="151">
        <f t="shared" ref="B125:AE125" si="84">+B86+B112</f>
        <v>0</v>
      </c>
      <c r="C125" s="151">
        <f t="shared" si="84"/>
        <v>0</v>
      </c>
      <c r="D125" s="151">
        <f t="shared" si="84"/>
        <v>0</v>
      </c>
      <c r="E125" s="151">
        <f t="shared" si="84"/>
        <v>0</v>
      </c>
      <c r="F125" s="151">
        <f t="shared" si="84"/>
        <v>0</v>
      </c>
      <c r="G125" s="151">
        <f t="shared" si="84"/>
        <v>0</v>
      </c>
      <c r="H125" s="151">
        <f t="shared" si="84"/>
        <v>0</v>
      </c>
      <c r="I125" s="151">
        <f t="shared" si="84"/>
        <v>0</v>
      </c>
      <c r="J125" s="151">
        <f t="shared" si="84"/>
        <v>0</v>
      </c>
      <c r="K125" s="151">
        <f t="shared" si="84"/>
        <v>0</v>
      </c>
      <c r="L125" s="151">
        <f t="shared" si="84"/>
        <v>0</v>
      </c>
      <c r="M125" s="151">
        <f t="shared" si="84"/>
        <v>0</v>
      </c>
      <c r="N125" s="151">
        <f t="shared" si="84"/>
        <v>0</v>
      </c>
      <c r="O125" s="298">
        <f t="shared" si="84"/>
        <v>0</v>
      </c>
      <c r="P125" s="298">
        <f t="shared" si="84"/>
        <v>0</v>
      </c>
      <c r="Q125" s="341">
        <f t="shared" si="84"/>
        <v>0</v>
      </c>
      <c r="R125" s="341">
        <f t="shared" si="84"/>
        <v>0</v>
      </c>
      <c r="S125" s="341">
        <f t="shared" si="84"/>
        <v>0</v>
      </c>
      <c r="T125" s="341">
        <f t="shared" si="84"/>
        <v>0</v>
      </c>
      <c r="U125" s="341">
        <f t="shared" si="84"/>
        <v>0</v>
      </c>
      <c r="V125" s="191">
        <f t="shared" si="84"/>
        <v>8</v>
      </c>
      <c r="W125" s="151">
        <f t="shared" si="84"/>
        <v>0</v>
      </c>
      <c r="X125" s="151">
        <f t="shared" si="84"/>
        <v>1</v>
      </c>
      <c r="Y125" s="151">
        <f t="shared" si="84"/>
        <v>13</v>
      </c>
      <c r="Z125" s="151">
        <f t="shared" si="84"/>
        <v>7</v>
      </c>
      <c r="AA125" s="151">
        <f t="shared" si="84"/>
        <v>15</v>
      </c>
      <c r="AB125" s="151">
        <f t="shared" si="84"/>
        <v>9</v>
      </c>
      <c r="AC125" s="151">
        <f t="shared" si="84"/>
        <v>18</v>
      </c>
      <c r="AD125" s="151">
        <f t="shared" si="84"/>
        <v>13</v>
      </c>
      <c r="AE125" s="159">
        <f t="shared" si="84"/>
        <v>13</v>
      </c>
      <c r="AF125" s="153" t="str">
        <f t="shared" si="78"/>
        <v xml:space="preserve"> </v>
      </c>
      <c r="AG125" s="225" t="str">
        <f t="shared" si="79"/>
        <v xml:space="preserve"> </v>
      </c>
      <c r="AH125" s="153" t="str">
        <f t="shared" si="80"/>
        <v xml:space="preserve"> </v>
      </c>
      <c r="AI125" s="249">
        <f t="shared" si="81"/>
        <v>14.666666666666666</v>
      </c>
    </row>
    <row r="126" spans="1:35" ht="12" x14ac:dyDescent="0.2">
      <c r="A126" s="455" t="s">
        <v>126</v>
      </c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298"/>
      <c r="P126" s="298"/>
      <c r="Q126" s="341"/>
      <c r="R126" s="341"/>
      <c r="S126" s="341"/>
      <c r="T126" s="341"/>
      <c r="U126" s="341">
        <f t="shared" ref="U126:AD126" si="85">U87</f>
        <v>0</v>
      </c>
      <c r="V126" s="191">
        <f t="shared" si="85"/>
        <v>0</v>
      </c>
      <c r="W126" s="151">
        <f t="shared" si="85"/>
        <v>0</v>
      </c>
      <c r="X126" s="151">
        <f t="shared" si="85"/>
        <v>0</v>
      </c>
      <c r="Y126" s="151">
        <f t="shared" si="85"/>
        <v>0</v>
      </c>
      <c r="Z126" s="151">
        <f t="shared" si="85"/>
        <v>0</v>
      </c>
      <c r="AA126" s="151">
        <f t="shared" si="85"/>
        <v>0</v>
      </c>
      <c r="AB126" s="151">
        <f t="shared" si="85"/>
        <v>0</v>
      </c>
      <c r="AC126" s="151">
        <f t="shared" si="85"/>
        <v>0</v>
      </c>
      <c r="AD126" s="151">
        <f t="shared" si="85"/>
        <v>0</v>
      </c>
      <c r="AE126" s="159">
        <f>AE87</f>
        <v>1</v>
      </c>
      <c r="AF126" s="495"/>
      <c r="AG126" s="225"/>
      <c r="AH126" s="496"/>
      <c r="AI126" s="249"/>
    </row>
    <row r="127" spans="1:35" ht="13.5" thickBot="1" x14ac:dyDescent="0.25">
      <c r="A127" s="425" t="s">
        <v>95</v>
      </c>
      <c r="B127" s="160">
        <f t="shared" ref="B127:T127" si="86">+B125+B124+B122+B123</f>
        <v>138</v>
      </c>
      <c r="C127" s="160">
        <f t="shared" si="86"/>
        <v>137</v>
      </c>
      <c r="D127" s="160">
        <f t="shared" si="86"/>
        <v>158</v>
      </c>
      <c r="E127" s="160">
        <f t="shared" si="86"/>
        <v>163</v>
      </c>
      <c r="F127" s="160">
        <f t="shared" si="86"/>
        <v>178</v>
      </c>
      <c r="G127" s="160">
        <f t="shared" si="86"/>
        <v>142</v>
      </c>
      <c r="H127" s="160">
        <f t="shared" si="86"/>
        <v>136</v>
      </c>
      <c r="I127" s="160">
        <f t="shared" si="86"/>
        <v>155</v>
      </c>
      <c r="J127" s="160">
        <f t="shared" si="86"/>
        <v>194</v>
      </c>
      <c r="K127" s="160">
        <f t="shared" si="86"/>
        <v>207</v>
      </c>
      <c r="L127" s="160">
        <f t="shared" si="86"/>
        <v>190</v>
      </c>
      <c r="M127" s="160">
        <f t="shared" si="86"/>
        <v>209</v>
      </c>
      <c r="N127" s="160">
        <f t="shared" si="86"/>
        <v>170</v>
      </c>
      <c r="O127" s="285">
        <f t="shared" si="86"/>
        <v>222</v>
      </c>
      <c r="P127" s="285">
        <f t="shared" si="86"/>
        <v>217</v>
      </c>
      <c r="Q127" s="331">
        <f t="shared" si="86"/>
        <v>220</v>
      </c>
      <c r="R127" s="331">
        <f t="shared" si="86"/>
        <v>233</v>
      </c>
      <c r="S127" s="331">
        <f t="shared" si="86"/>
        <v>253</v>
      </c>
      <c r="T127" s="331">
        <f t="shared" si="86"/>
        <v>297</v>
      </c>
      <c r="U127" s="331">
        <f t="shared" ref="U127:AD127" si="87">+U126+U125+U124+U122+U123</f>
        <v>271</v>
      </c>
      <c r="V127" s="184">
        <f t="shared" si="87"/>
        <v>278</v>
      </c>
      <c r="W127" s="31">
        <f t="shared" si="87"/>
        <v>272</v>
      </c>
      <c r="X127" s="31">
        <f t="shared" si="87"/>
        <v>314</v>
      </c>
      <c r="Y127" s="31">
        <f t="shared" si="87"/>
        <v>357</v>
      </c>
      <c r="Z127" s="31">
        <f t="shared" si="87"/>
        <v>341</v>
      </c>
      <c r="AA127" s="31">
        <f t="shared" si="87"/>
        <v>351</v>
      </c>
      <c r="AB127" s="31">
        <f t="shared" si="87"/>
        <v>373</v>
      </c>
      <c r="AC127" s="31">
        <f t="shared" si="87"/>
        <v>366</v>
      </c>
      <c r="AD127" s="31">
        <f t="shared" si="87"/>
        <v>303</v>
      </c>
      <c r="AE127" s="160">
        <f>+AE126+AE125+AE124+AE122+AE123</f>
        <v>297</v>
      </c>
      <c r="AF127" s="222">
        <f t="shared" si="78"/>
        <v>-1.9801980198019802E-2</v>
      </c>
      <c r="AG127" s="219">
        <f t="shared" si="79"/>
        <v>-0.12903225806451613</v>
      </c>
      <c r="AH127" s="223">
        <f t="shared" si="80"/>
        <v>9.5940959409594101E-2</v>
      </c>
      <c r="AI127" s="31">
        <f t="shared" si="81"/>
        <v>322</v>
      </c>
    </row>
    <row r="128" spans="1:35" ht="12.75" thickTop="1" thickBot="1" x14ac:dyDescent="0.25">
      <c r="AF128" s="360"/>
    </row>
    <row r="129" spans="1:43" ht="14.25" thickTop="1" thickBot="1" x14ac:dyDescent="0.25">
      <c r="A129" s="460" t="s">
        <v>96</v>
      </c>
      <c r="B129" s="154">
        <f t="shared" ref="B129:AE129" si="88">+B127+B73</f>
        <v>1144</v>
      </c>
      <c r="C129" s="154">
        <f t="shared" si="88"/>
        <v>1210</v>
      </c>
      <c r="D129" s="154">
        <f t="shared" si="88"/>
        <v>1293</v>
      </c>
      <c r="E129" s="154">
        <f t="shared" si="88"/>
        <v>1348</v>
      </c>
      <c r="F129" s="154">
        <f t="shared" si="88"/>
        <v>1285</v>
      </c>
      <c r="G129" s="154">
        <f t="shared" si="88"/>
        <v>1133</v>
      </c>
      <c r="H129" s="154">
        <f t="shared" si="88"/>
        <v>1352</v>
      </c>
      <c r="I129" s="154">
        <f t="shared" si="88"/>
        <v>1386</v>
      </c>
      <c r="J129" s="154">
        <f t="shared" si="88"/>
        <v>1546</v>
      </c>
      <c r="K129" s="154">
        <f t="shared" si="88"/>
        <v>1506</v>
      </c>
      <c r="L129" s="154">
        <f t="shared" si="88"/>
        <v>1503</v>
      </c>
      <c r="M129" s="154">
        <f t="shared" si="88"/>
        <v>1609</v>
      </c>
      <c r="N129" s="154">
        <f t="shared" si="88"/>
        <v>1609</v>
      </c>
      <c r="O129" s="299">
        <f t="shared" si="88"/>
        <v>1775</v>
      </c>
      <c r="P129" s="299">
        <f t="shared" si="88"/>
        <v>1825</v>
      </c>
      <c r="Q129" s="342">
        <f t="shared" si="88"/>
        <v>1881</v>
      </c>
      <c r="R129" s="342">
        <f t="shared" si="88"/>
        <v>1942</v>
      </c>
      <c r="S129" s="342">
        <f t="shared" si="88"/>
        <v>2040</v>
      </c>
      <c r="T129" s="342">
        <f t="shared" si="88"/>
        <v>2169</v>
      </c>
      <c r="U129" s="342">
        <f t="shared" si="88"/>
        <v>2170</v>
      </c>
      <c r="V129" s="192">
        <f t="shared" si="88"/>
        <v>2213</v>
      </c>
      <c r="W129" s="154">
        <f t="shared" si="88"/>
        <v>2239</v>
      </c>
      <c r="X129" s="154">
        <f t="shared" si="88"/>
        <v>2340</v>
      </c>
      <c r="Y129" s="154">
        <f t="shared" si="88"/>
        <v>2229</v>
      </c>
      <c r="Z129" s="154">
        <f t="shared" si="88"/>
        <v>2146</v>
      </c>
      <c r="AA129" s="154">
        <f t="shared" si="88"/>
        <v>2258</v>
      </c>
      <c r="AB129" s="154">
        <f t="shared" si="88"/>
        <v>2215</v>
      </c>
      <c r="AC129" s="154">
        <f t="shared" si="88"/>
        <v>2030</v>
      </c>
      <c r="AD129" s="154">
        <f t="shared" si="88"/>
        <v>1908</v>
      </c>
      <c r="AE129" s="161">
        <f t="shared" si="88"/>
        <v>1765</v>
      </c>
      <c r="AF129" s="251">
        <f t="shared" ref="AF129" si="89">IF(AE129=0," ",IF(AI129&gt;20,(AE129-AD129)/AD129," "))</f>
        <v>-7.4947589098532497E-2</v>
      </c>
      <c r="AG129" s="220">
        <f t="shared" ref="AG129" si="90">IF(AE129=0," ",IF(AI129&gt;20,(AE129-Z129)/Z129," "))</f>
        <v>-0.17753960857409135</v>
      </c>
      <c r="AH129" s="252">
        <f t="shared" ref="AH129" si="91">IF(AE129=0," ",(IF(AI129&gt;20,(AE129-U129)/U129," ")))</f>
        <v>-0.18663594470046083</v>
      </c>
      <c r="AI129" s="253">
        <f>IF(AC129&gt;0,AVERAGE(AC129:AE129),"  ")</f>
        <v>1901</v>
      </c>
      <c r="AJ129" s="155"/>
      <c r="AK129" s="155"/>
      <c r="AL129" s="382"/>
      <c r="AM129" s="382"/>
      <c r="AN129" s="382"/>
      <c r="AO129" s="382"/>
      <c r="AP129" s="382"/>
      <c r="AQ129" s="382"/>
    </row>
    <row r="130" spans="1:43" ht="12.75" thickTop="1" x14ac:dyDescent="0.2">
      <c r="AJ130" s="155"/>
      <c r="AK130" s="155"/>
      <c r="AL130" s="382"/>
      <c r="AM130" s="382"/>
      <c r="AN130" s="382"/>
      <c r="AO130" s="382"/>
      <c r="AP130" s="382"/>
      <c r="AQ130" s="382"/>
    </row>
    <row r="131" spans="1:43" ht="12" thickBot="1" x14ac:dyDescent="0.25"/>
    <row r="132" spans="1:43" ht="12.75" thickTop="1" x14ac:dyDescent="0.2">
      <c r="A132" s="461" t="s">
        <v>103</v>
      </c>
      <c r="B132" s="462"/>
      <c r="C132" s="462"/>
      <c r="D132" s="301"/>
      <c r="E132" s="301"/>
      <c r="F132" s="462"/>
      <c r="G132" s="462"/>
      <c r="H132" s="463"/>
      <c r="I132" s="463"/>
      <c r="J132" s="463"/>
      <c r="K132" s="463"/>
      <c r="L132" s="464"/>
      <c r="M132" s="463"/>
      <c r="N132" s="463"/>
      <c r="O132" s="302"/>
      <c r="P132" s="302"/>
      <c r="Q132" s="302"/>
      <c r="R132" s="302"/>
      <c r="S132" s="302"/>
      <c r="T132" s="302"/>
      <c r="U132" s="302"/>
      <c r="V132" s="302"/>
      <c r="W132" s="302"/>
      <c r="X132" s="302"/>
      <c r="Y132" s="302"/>
      <c r="Z132" s="303"/>
      <c r="AA132" s="303"/>
      <c r="AB132" s="303"/>
      <c r="AC132" s="303"/>
      <c r="AD132" s="303"/>
      <c r="AE132" s="303"/>
      <c r="AF132" s="303"/>
      <c r="AG132" s="304"/>
      <c r="AH132" s="303"/>
      <c r="AI132" s="305"/>
    </row>
    <row r="133" spans="1:43" ht="12.75" thickBot="1" x14ac:dyDescent="0.25">
      <c r="A133" s="465" t="s">
        <v>175</v>
      </c>
      <c r="B133" s="306"/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7"/>
      <c r="P133" s="307"/>
      <c r="Q133" s="343"/>
      <c r="R133" s="343">
        <v>0</v>
      </c>
      <c r="S133" s="343"/>
      <c r="T133" s="343">
        <v>0</v>
      </c>
      <c r="U133" s="602"/>
      <c r="V133" s="308"/>
      <c r="W133" s="306"/>
      <c r="X133" s="306"/>
      <c r="Y133" s="306">
        <v>1</v>
      </c>
      <c r="Z133" s="306">
        <v>9</v>
      </c>
      <c r="AA133" s="306">
        <v>4</v>
      </c>
      <c r="AB133" s="306">
        <v>17</v>
      </c>
      <c r="AC133" s="306">
        <v>10</v>
      </c>
      <c r="AD133" s="306">
        <v>14</v>
      </c>
      <c r="AE133" s="309">
        <v>12</v>
      </c>
      <c r="AF133" s="310" t="str">
        <f>IF(AE133=0," ",IF(AI133&gt;20,(AE133-AD133)/AD133," "))</f>
        <v xml:space="preserve"> </v>
      </c>
      <c r="AG133" s="311" t="str">
        <f t="shared" ref="AG133" si="92">IF(AE133=0," ",IF(AI133&gt;20,(AE133-Z133)/Z133," "))</f>
        <v xml:space="preserve"> </v>
      </c>
      <c r="AH133" s="310" t="str">
        <f t="shared" ref="AH133" si="93">IF(AE133=0," ",(IF(AI133&gt;20,(AE133-U133)/U133," ")))</f>
        <v xml:space="preserve"> </v>
      </c>
      <c r="AI133" s="312">
        <f>IF(AC133&gt;0,AVERAGE(AC133:AE133),"  ")</f>
        <v>12</v>
      </c>
    </row>
    <row r="134" spans="1:43" ht="12.75" thickTop="1" x14ac:dyDescent="0.2">
      <c r="T134" s="466"/>
      <c r="U134" s="466"/>
      <c r="V134" s="466"/>
      <c r="W134" s="466"/>
      <c r="X134" s="466"/>
      <c r="Y134" s="467"/>
      <c r="Z134" s="468"/>
      <c r="AA134" s="468"/>
      <c r="AB134" s="468"/>
      <c r="AC134" s="468"/>
      <c r="AD134" s="468"/>
      <c r="AE134" s="468"/>
      <c r="AF134" s="469"/>
      <c r="AG134" s="469"/>
      <c r="AH134" s="3"/>
    </row>
    <row r="135" spans="1:43" ht="12.75" thickBot="1" x14ac:dyDescent="0.25">
      <c r="T135" s="466"/>
      <c r="U135" s="466"/>
      <c r="V135" s="466"/>
      <c r="W135" s="466"/>
      <c r="X135" s="466"/>
      <c r="Y135" s="467"/>
      <c r="Z135" s="467"/>
      <c r="AA135" s="467"/>
      <c r="AB135" s="467"/>
      <c r="AC135" s="467"/>
      <c r="AD135" s="467"/>
      <c r="AE135" s="467"/>
      <c r="AF135" s="469"/>
      <c r="AG135" s="469"/>
      <c r="AH135" s="3"/>
    </row>
    <row r="136" spans="1:43" ht="11.25" customHeight="1" x14ac:dyDescent="0.2">
      <c r="P136" s="344"/>
      <c r="Q136" s="470"/>
      <c r="R136" s="470"/>
      <c r="T136" s="459"/>
      <c r="Z136" s="626" t="s">
        <v>123</v>
      </c>
      <c r="AA136" s="627"/>
      <c r="AB136" s="627"/>
      <c r="AC136" s="627"/>
      <c r="AD136" s="627"/>
      <c r="AE136" s="627"/>
      <c r="AF136" s="627"/>
      <c r="AG136" s="627"/>
      <c r="AH136" s="628"/>
      <c r="AJ136" s="382"/>
      <c r="AK136" s="382"/>
      <c r="AL136" s="382"/>
      <c r="AM136" s="382"/>
      <c r="AN136" s="382"/>
      <c r="AO136" s="382"/>
      <c r="AP136" s="382"/>
      <c r="AQ136" s="382"/>
    </row>
    <row r="137" spans="1:43" ht="22.5" customHeight="1" x14ac:dyDescent="0.2">
      <c r="P137" s="344"/>
      <c r="Q137" s="470"/>
      <c r="R137" s="470"/>
      <c r="Z137" s="629" t="s">
        <v>172</v>
      </c>
      <c r="AA137" s="630"/>
      <c r="AB137" s="631"/>
      <c r="AC137" s="632" t="s">
        <v>114</v>
      </c>
      <c r="AD137" s="633"/>
      <c r="AE137" s="633"/>
      <c r="AF137" s="634" t="s">
        <v>53</v>
      </c>
      <c r="AG137" s="630"/>
      <c r="AH137" s="635"/>
      <c r="AJ137" s="382"/>
      <c r="AK137" s="382"/>
      <c r="AL137" s="382"/>
      <c r="AM137" s="382"/>
      <c r="AN137" s="382"/>
      <c r="AO137" s="382"/>
      <c r="AP137" s="382"/>
      <c r="AQ137" s="382"/>
    </row>
    <row r="138" spans="1:43" ht="12" customHeight="1" x14ac:dyDescent="0.2">
      <c r="P138" s="344"/>
      <c r="Q138" s="470"/>
      <c r="R138" s="470"/>
      <c r="Z138" s="471" t="s">
        <v>178</v>
      </c>
      <c r="AA138" s="364"/>
      <c r="AB138" s="472"/>
      <c r="AC138" s="473" t="s">
        <v>1</v>
      </c>
      <c r="AD138" s="474"/>
      <c r="AE138" s="474"/>
      <c r="AF138" s="475" t="s">
        <v>1</v>
      </c>
      <c r="AG138" s="476" t="s">
        <v>30</v>
      </c>
      <c r="AH138" s="477"/>
      <c r="AJ138" s="382"/>
      <c r="AK138" s="382"/>
      <c r="AL138" s="382"/>
      <c r="AM138" s="382"/>
      <c r="AN138" s="382"/>
      <c r="AO138" s="382"/>
      <c r="AP138" s="382"/>
      <c r="AQ138" s="382"/>
    </row>
    <row r="139" spans="1:43" ht="11.25" customHeight="1" x14ac:dyDescent="0.2">
      <c r="P139" s="344"/>
      <c r="Q139" s="470"/>
      <c r="R139" s="470"/>
      <c r="Z139" s="471" t="s">
        <v>25</v>
      </c>
      <c r="AA139" s="364"/>
      <c r="AB139" s="472"/>
      <c r="AC139" s="478" t="s">
        <v>48</v>
      </c>
      <c r="AD139" s="479"/>
      <c r="AE139" s="479"/>
      <c r="AF139" s="478" t="s">
        <v>48</v>
      </c>
      <c r="AG139" s="479"/>
      <c r="AH139" s="480"/>
      <c r="AJ139" s="382"/>
      <c r="AK139" s="382"/>
      <c r="AL139" s="382"/>
      <c r="AM139" s="382"/>
      <c r="AN139" s="382"/>
      <c r="AO139" s="382"/>
      <c r="AP139" s="382"/>
      <c r="AQ139" s="382"/>
    </row>
    <row r="140" spans="1:43" ht="11.25" customHeight="1" x14ac:dyDescent="0.2">
      <c r="P140" s="344"/>
      <c r="Q140" s="470"/>
      <c r="R140" s="470"/>
      <c r="Z140" s="471" t="s">
        <v>27</v>
      </c>
      <c r="AA140" s="364"/>
      <c r="AB140" s="472"/>
      <c r="AC140" s="481" t="s">
        <v>30</v>
      </c>
      <c r="AD140" s="482"/>
      <c r="AE140" s="482"/>
      <c r="AF140" s="481" t="s">
        <v>13</v>
      </c>
      <c r="AG140" s="482"/>
      <c r="AH140" s="375"/>
      <c r="AJ140" s="382"/>
      <c r="AK140" s="382"/>
      <c r="AL140" s="382"/>
      <c r="AM140" s="382"/>
      <c r="AN140" s="382"/>
      <c r="AO140" s="382"/>
      <c r="AP140" s="382"/>
      <c r="AQ140" s="382"/>
    </row>
    <row r="141" spans="1:43" x14ac:dyDescent="0.2">
      <c r="P141" s="344"/>
      <c r="Q141" s="470"/>
      <c r="R141" s="470"/>
      <c r="Z141" s="471" t="s">
        <v>17</v>
      </c>
      <c r="AA141" s="364"/>
      <c r="AB141" s="472"/>
      <c r="AC141" s="478" t="s">
        <v>180</v>
      </c>
      <c r="AD141" s="479"/>
      <c r="AE141" s="479"/>
      <c r="AF141" s="478" t="s">
        <v>29</v>
      </c>
      <c r="AG141" s="482"/>
      <c r="AH141" s="375"/>
      <c r="AJ141" s="382"/>
      <c r="AK141" s="382"/>
      <c r="AL141" s="382"/>
      <c r="AM141" s="382"/>
      <c r="AN141" s="382"/>
      <c r="AO141" s="382"/>
      <c r="AP141" s="382"/>
      <c r="AQ141" s="382"/>
    </row>
    <row r="142" spans="1:43" ht="12" thickBot="1" x14ac:dyDescent="0.25">
      <c r="P142" s="344"/>
      <c r="Q142" s="470"/>
      <c r="R142" s="470"/>
      <c r="Z142" s="483" t="s">
        <v>11</v>
      </c>
      <c r="AA142" s="365"/>
      <c r="AB142" s="484"/>
      <c r="AC142" s="485" t="s">
        <v>13</v>
      </c>
      <c r="AD142" s="486"/>
      <c r="AE142" s="486"/>
      <c r="AF142" s="485" t="s">
        <v>180</v>
      </c>
      <c r="AG142" s="487"/>
      <c r="AH142" s="376"/>
      <c r="AJ142" s="382"/>
      <c r="AK142" s="382"/>
      <c r="AL142" s="382"/>
      <c r="AM142" s="382"/>
      <c r="AN142" s="382"/>
      <c r="AO142" s="382"/>
      <c r="AP142" s="382"/>
      <c r="AQ142" s="382"/>
    </row>
    <row r="143" spans="1:43" x14ac:dyDescent="0.2">
      <c r="P143" s="344"/>
      <c r="Q143" s="470"/>
      <c r="R143" s="470"/>
      <c r="Z143" s="488"/>
      <c r="AA143" s="489"/>
      <c r="AB143" s="490"/>
      <c r="AC143" s="491"/>
      <c r="AD143" s="491"/>
      <c r="AE143" s="491"/>
      <c r="AF143" s="503" t="s">
        <v>171</v>
      </c>
      <c r="AG143" s="491"/>
      <c r="AH143" s="491"/>
      <c r="AI143" s="491"/>
      <c r="AO143" s="382"/>
      <c r="AP143" s="382"/>
      <c r="AQ143" s="382"/>
    </row>
    <row r="144" spans="1:43" ht="13.5" x14ac:dyDescent="0.25">
      <c r="A144" s="497" t="s">
        <v>127</v>
      </c>
      <c r="P144" s="344"/>
      <c r="Q144" s="470"/>
      <c r="R144" s="470"/>
      <c r="Z144" s="382"/>
      <c r="AB144" s="490"/>
      <c r="AC144" s="491"/>
      <c r="AD144" s="491"/>
      <c r="AE144" s="491"/>
      <c r="AF144" s="548" t="s">
        <v>170</v>
      </c>
      <c r="AG144" s="491"/>
      <c r="AH144" s="491"/>
      <c r="AI144" s="491"/>
      <c r="AO144" s="382"/>
      <c r="AP144" s="382"/>
      <c r="AQ144" s="382"/>
    </row>
    <row r="145" spans="1:43" x14ac:dyDescent="0.2">
      <c r="A145" s="374" t="s">
        <v>130</v>
      </c>
      <c r="Z145" s="382"/>
      <c r="AA145" s="382"/>
      <c r="AB145" s="492"/>
      <c r="AC145" s="493"/>
      <c r="AD145" s="493"/>
      <c r="AE145" s="493"/>
      <c r="AF145" s="493"/>
      <c r="AG145" s="493"/>
      <c r="AH145" s="493"/>
      <c r="AI145" s="493"/>
      <c r="AJ145" s="493"/>
      <c r="AK145" s="493"/>
      <c r="AQ145" s="382"/>
    </row>
    <row r="146" spans="1:43" x14ac:dyDescent="0.2">
      <c r="A146" s="503" t="s">
        <v>132</v>
      </c>
      <c r="Z146" s="382"/>
      <c r="AA146" s="382"/>
      <c r="AB146" s="382"/>
      <c r="AC146" s="494"/>
      <c r="AD146" s="494"/>
      <c r="AE146" s="494"/>
      <c r="AF146" s="494"/>
      <c r="AG146" s="494"/>
      <c r="AH146" s="494"/>
      <c r="AI146" s="494"/>
      <c r="AJ146" s="494"/>
      <c r="AK146" s="494"/>
      <c r="AQ146" s="382"/>
    </row>
    <row r="147" spans="1:43" ht="14.25" x14ac:dyDescent="0.2">
      <c r="A147" s="504" t="s">
        <v>133</v>
      </c>
      <c r="T147" s="382"/>
      <c r="U147" s="2"/>
      <c r="V147" s="382"/>
      <c r="W147" s="1"/>
      <c r="X147" s="1"/>
    </row>
    <row r="148" spans="1:43" ht="15" x14ac:dyDescent="0.25">
      <c r="A148" s="504" t="s">
        <v>134</v>
      </c>
      <c r="T148" s="254"/>
      <c r="U148" s="254"/>
      <c r="V148" s="254"/>
      <c r="W148" s="254"/>
      <c r="X148" s="254"/>
    </row>
    <row r="149" spans="1:43" x14ac:dyDescent="0.2">
      <c r="A149" s="503" t="s">
        <v>131</v>
      </c>
    </row>
    <row r="150" spans="1:43" x14ac:dyDescent="0.2">
      <c r="A150" s="505" t="s">
        <v>138</v>
      </c>
    </row>
  </sheetData>
  <sortState ref="A112:FT116">
    <sortCondition ref="A112:A116"/>
  </sortState>
  <mergeCells count="21">
    <mergeCell ref="Z136:AH136"/>
    <mergeCell ref="Z137:AB137"/>
    <mergeCell ref="AC137:AE137"/>
    <mergeCell ref="AF137:AH137"/>
    <mergeCell ref="AI77:AI78"/>
    <mergeCell ref="AG77:AG78"/>
    <mergeCell ref="A91:AI91"/>
    <mergeCell ref="A75:AI75"/>
    <mergeCell ref="AH77:AH78"/>
    <mergeCell ref="A77:A78"/>
    <mergeCell ref="A85:AI85"/>
    <mergeCell ref="AF77:AF78"/>
    <mergeCell ref="A1:AI1"/>
    <mergeCell ref="A3:A4"/>
    <mergeCell ref="A6:AI6"/>
    <mergeCell ref="A5:AI5"/>
    <mergeCell ref="A7:AI7"/>
    <mergeCell ref="AF3:AF4"/>
    <mergeCell ref="AG3:AG4"/>
    <mergeCell ref="AH3:AH4"/>
    <mergeCell ref="AI3:AI4"/>
  </mergeCells>
  <phoneticPr fontId="0" type="noConversion"/>
  <printOptions horizontalCentered="1"/>
  <pageMargins left="0.5" right="0.5" top="0.48" bottom="0.5" header="0.5" footer="0.25"/>
  <pageSetup scale="77" orientation="portrait" r:id="rId1"/>
  <headerFooter alignWithMargins="0">
    <oddFooter>&amp;L&amp;"Times New Roman,Regular"&amp;9Source: MHEC DIS&amp;C&amp;"Times New Roman,Regular"&amp;10C-6.0</oddFooter>
  </headerFooter>
  <rowBreaks count="1" manualBreakCount="1">
    <brk id="74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71FF-4A33-49F4-9B7F-B716F9399723}">
  <dimension ref="A1:FV150"/>
  <sheetViews>
    <sheetView showGridLines="0" zoomScaleNormal="100" workbookViewId="0">
      <selection activeCell="A53" sqref="A53"/>
    </sheetView>
  </sheetViews>
  <sheetFormatPr defaultColWidth="10.6640625" defaultRowHeight="11.25" x14ac:dyDescent="0.2"/>
  <cols>
    <col min="1" max="1" width="45.83203125" style="360" customWidth="1"/>
    <col min="2" max="9" width="7.5" style="360" hidden="1" customWidth="1"/>
    <col min="10" max="10" width="7.5" style="456" hidden="1" customWidth="1"/>
    <col min="11" max="11" width="7.5" style="457" hidden="1" customWidth="1"/>
    <col min="12" max="15" width="7.5" style="456" hidden="1" customWidth="1"/>
    <col min="16" max="16" width="7.5" style="99" hidden="1" customWidth="1"/>
    <col min="17" max="17" width="7.5" style="458" hidden="1" customWidth="1"/>
    <col min="18" max="18" width="7.33203125" style="458" hidden="1" customWidth="1"/>
    <col min="19" max="19" width="8.33203125" style="459" hidden="1" customWidth="1"/>
    <col min="20" max="20" width="8.33203125" style="458" hidden="1" customWidth="1"/>
    <col min="21" max="21" width="8.1640625" style="458" customWidth="1"/>
    <col min="22" max="25" width="8.1640625" style="458" hidden="1" customWidth="1"/>
    <col min="26" max="31" width="8.1640625" style="458" customWidth="1"/>
    <col min="32" max="32" width="8.83203125" style="458" customWidth="1"/>
    <col min="33" max="35" width="8.83203125" style="360" customWidth="1"/>
    <col min="36" max="42" width="10.6640625" style="360"/>
    <col min="43" max="43" width="10.83203125" style="360" customWidth="1"/>
    <col min="44" max="16384" width="10.6640625" style="382"/>
  </cols>
  <sheetData>
    <row r="1" spans="1:37" ht="15" x14ac:dyDescent="0.25">
      <c r="A1" s="607" t="s">
        <v>176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</row>
    <row r="2" spans="1:37" x14ac:dyDescent="0.2">
      <c r="A2" s="383"/>
      <c r="B2" s="384"/>
      <c r="C2" s="384"/>
      <c r="D2" s="384"/>
      <c r="E2" s="384"/>
      <c r="F2" s="384"/>
      <c r="G2" s="384"/>
      <c r="H2" s="384"/>
      <c r="I2" s="384"/>
      <c r="J2" s="385"/>
      <c r="K2" s="385"/>
      <c r="L2" s="386"/>
      <c r="M2" s="386"/>
      <c r="N2" s="386"/>
      <c r="O2" s="385"/>
      <c r="P2" s="387"/>
      <c r="Q2" s="385"/>
      <c r="R2" s="385"/>
      <c r="S2" s="388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4"/>
      <c r="AH2" s="384"/>
      <c r="AI2" s="384"/>
    </row>
    <row r="3" spans="1:37" ht="12" customHeight="1" x14ac:dyDescent="0.2">
      <c r="A3" s="608" t="s">
        <v>129</v>
      </c>
      <c r="B3" s="389"/>
      <c r="C3" s="390"/>
      <c r="D3" s="390"/>
      <c r="E3" s="389"/>
      <c r="F3" s="389"/>
      <c r="G3" s="390"/>
      <c r="H3" s="391"/>
      <c r="I3" s="391"/>
      <c r="J3" s="390"/>
      <c r="K3" s="392"/>
      <c r="L3" s="392"/>
      <c r="M3" s="392"/>
      <c r="N3" s="391"/>
      <c r="O3" s="393"/>
      <c r="P3" s="394"/>
      <c r="Q3" s="395"/>
      <c r="R3" s="395"/>
      <c r="S3" s="396"/>
      <c r="T3" s="395"/>
      <c r="U3" s="498" t="s">
        <v>128</v>
      </c>
      <c r="V3" s="499" t="s">
        <v>128</v>
      </c>
      <c r="W3" s="500" t="s">
        <v>128</v>
      </c>
      <c r="X3" s="501" t="s">
        <v>128</v>
      </c>
      <c r="Y3" s="501" t="s">
        <v>128</v>
      </c>
      <c r="Z3" s="500" t="s">
        <v>128</v>
      </c>
      <c r="AA3" s="500" t="s">
        <v>128</v>
      </c>
      <c r="AB3" s="500" t="s">
        <v>128</v>
      </c>
      <c r="AC3" s="500" t="s">
        <v>128</v>
      </c>
      <c r="AD3" s="500" t="s">
        <v>128</v>
      </c>
      <c r="AE3" s="502" t="s">
        <v>128</v>
      </c>
      <c r="AF3" s="636" t="s">
        <v>135</v>
      </c>
      <c r="AG3" s="638" t="s">
        <v>136</v>
      </c>
      <c r="AH3" s="636" t="s">
        <v>137</v>
      </c>
      <c r="AI3" s="640" t="s">
        <v>177</v>
      </c>
    </row>
    <row r="4" spans="1:37" ht="12" x14ac:dyDescent="0.2">
      <c r="A4" s="609"/>
      <c r="B4" s="59" t="s">
        <v>84</v>
      </c>
      <c r="C4" s="60" t="s">
        <v>34</v>
      </c>
      <c r="D4" s="59" t="s">
        <v>40</v>
      </c>
      <c r="E4" s="60" t="s">
        <v>41</v>
      </c>
      <c r="F4" s="60" t="s">
        <v>42</v>
      </c>
      <c r="G4" s="59" t="s">
        <v>43</v>
      </c>
      <c r="H4" s="61" t="s">
        <v>44</v>
      </c>
      <c r="I4" s="62" t="s">
        <v>36</v>
      </c>
      <c r="J4" s="63" t="s">
        <v>37</v>
      </c>
      <c r="K4" s="63" t="s">
        <v>38</v>
      </c>
      <c r="L4" s="63" t="s">
        <v>39</v>
      </c>
      <c r="M4" s="63" t="s">
        <v>35</v>
      </c>
      <c r="N4" s="62" t="s">
        <v>45</v>
      </c>
      <c r="O4" s="264" t="s">
        <v>46</v>
      </c>
      <c r="P4" s="264" t="s">
        <v>49</v>
      </c>
      <c r="Q4" s="317" t="s">
        <v>52</v>
      </c>
      <c r="R4" s="317" t="s">
        <v>55</v>
      </c>
      <c r="S4" s="358" t="s">
        <v>56</v>
      </c>
      <c r="T4" s="368" t="s">
        <v>59</v>
      </c>
      <c r="U4" s="368" t="s">
        <v>60</v>
      </c>
      <c r="V4" s="348" t="s">
        <v>61</v>
      </c>
      <c r="W4" s="6" t="s">
        <v>62</v>
      </c>
      <c r="X4" s="64" t="s">
        <v>64</v>
      </c>
      <c r="Y4" s="64" t="s">
        <v>66</v>
      </c>
      <c r="Z4" s="6" t="s">
        <v>100</v>
      </c>
      <c r="AA4" s="6" t="s">
        <v>104</v>
      </c>
      <c r="AB4" s="6" t="s">
        <v>105</v>
      </c>
      <c r="AC4" s="6" t="s">
        <v>108</v>
      </c>
      <c r="AD4" s="6" t="s">
        <v>116</v>
      </c>
      <c r="AE4" s="65" t="s">
        <v>121</v>
      </c>
      <c r="AF4" s="637"/>
      <c r="AG4" s="639"/>
      <c r="AH4" s="637"/>
      <c r="AI4" s="641"/>
    </row>
    <row r="5" spans="1:37" ht="12" x14ac:dyDescent="0.2">
      <c r="A5" s="613" t="s">
        <v>68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  <c r="AC5" s="614"/>
      <c r="AD5" s="614"/>
      <c r="AE5" s="614"/>
      <c r="AF5" s="614"/>
      <c r="AG5" s="614"/>
      <c r="AH5" s="614"/>
      <c r="AI5" s="615"/>
    </row>
    <row r="6" spans="1:37" ht="12" x14ac:dyDescent="0.2">
      <c r="A6" s="610" t="s">
        <v>69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1"/>
      <c r="AG6" s="611"/>
      <c r="AH6" s="611"/>
      <c r="AI6" s="612"/>
    </row>
    <row r="7" spans="1:37" ht="12" x14ac:dyDescent="0.2">
      <c r="A7" s="616" t="s">
        <v>70</v>
      </c>
      <c r="B7" s="617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  <c r="AC7" s="617"/>
      <c r="AD7" s="617"/>
      <c r="AE7" s="617"/>
      <c r="AF7" s="617"/>
      <c r="AG7" s="617"/>
      <c r="AH7" s="617"/>
      <c r="AI7" s="618"/>
      <c r="AJ7" s="360" t="s">
        <v>119</v>
      </c>
    </row>
    <row r="8" spans="1:37" ht="12" x14ac:dyDescent="0.2">
      <c r="A8" s="400" t="s">
        <v>139</v>
      </c>
      <c r="B8" s="100"/>
      <c r="C8" s="100"/>
      <c r="D8" s="100"/>
      <c r="E8" s="100"/>
      <c r="F8" s="100"/>
      <c r="G8" s="100"/>
      <c r="H8" s="93"/>
      <c r="I8" s="93">
        <v>8</v>
      </c>
      <c r="J8" s="100">
        <v>9</v>
      </c>
      <c r="K8" s="100">
        <v>3</v>
      </c>
      <c r="L8" s="100">
        <v>7</v>
      </c>
      <c r="M8" s="100">
        <v>9</v>
      </c>
      <c r="N8" s="93">
        <v>11</v>
      </c>
      <c r="O8" s="265">
        <v>6</v>
      </c>
      <c r="P8" s="265">
        <v>10</v>
      </c>
      <c r="Q8" s="324">
        <v>10</v>
      </c>
      <c r="R8" s="324">
        <v>9</v>
      </c>
      <c r="S8" s="351">
        <v>6</v>
      </c>
      <c r="T8" s="324">
        <v>7</v>
      </c>
      <c r="U8" s="324">
        <v>6</v>
      </c>
      <c r="V8" s="280">
        <v>11</v>
      </c>
      <c r="W8" s="92">
        <v>10</v>
      </c>
      <c r="X8" s="93">
        <v>7</v>
      </c>
      <c r="Y8" s="93">
        <v>0</v>
      </c>
      <c r="Z8" s="92">
        <v>0</v>
      </c>
      <c r="AA8" s="92">
        <v>0</v>
      </c>
      <c r="AB8" s="92">
        <v>0</v>
      </c>
      <c r="AC8" s="92">
        <v>0</v>
      </c>
      <c r="AD8" s="92">
        <v>0</v>
      </c>
      <c r="AE8" s="101">
        <v>0</v>
      </c>
      <c r="AF8" s="345" t="str">
        <f>IF(AE8=0," ",IF(AI8&gt;20,(AE8-AD8)/AD8," "))</f>
        <v xml:space="preserve"> </v>
      </c>
      <c r="AG8" s="346" t="str">
        <f>IF(AE8=0," ",IF(AI8&gt;20,(AE8-Z8)/Z8," "))</f>
        <v xml:space="preserve"> </v>
      </c>
      <c r="AH8" s="347" t="str">
        <f>IF(AE8=0," ",(IF(AI8&gt;20,(AE8-U8)/U8," ")))</f>
        <v xml:space="preserve"> </v>
      </c>
      <c r="AI8" s="247" t="str">
        <f>IF(AC8&gt;0,AVERAGE(AC8:AE8),"  ")</f>
        <v xml:space="preserve">  </v>
      </c>
      <c r="AJ8" s="370"/>
      <c r="AK8" s="9"/>
    </row>
    <row r="9" spans="1:37" ht="15" x14ac:dyDescent="0.25">
      <c r="A9" s="401" t="s">
        <v>11</v>
      </c>
      <c r="B9" s="73"/>
      <c r="C9" s="73"/>
      <c r="D9" s="73"/>
      <c r="E9" s="73"/>
      <c r="F9" s="73"/>
      <c r="G9" s="73"/>
      <c r="H9" s="5"/>
      <c r="I9" s="5"/>
      <c r="J9" s="73">
        <v>19</v>
      </c>
      <c r="K9" s="73">
        <v>18</v>
      </c>
      <c r="L9" s="73">
        <v>33</v>
      </c>
      <c r="M9" s="73">
        <v>43</v>
      </c>
      <c r="N9" s="5">
        <v>45</v>
      </c>
      <c r="O9" s="266">
        <v>68</v>
      </c>
      <c r="P9" s="266">
        <v>49</v>
      </c>
      <c r="Q9" s="318">
        <v>81</v>
      </c>
      <c r="R9" s="318">
        <v>90</v>
      </c>
      <c r="S9" s="352">
        <v>102</v>
      </c>
      <c r="T9" s="318">
        <v>110</v>
      </c>
      <c r="U9" s="318">
        <f>143+1</f>
        <v>144</v>
      </c>
      <c r="V9" s="276">
        <v>139</v>
      </c>
      <c r="W9" s="74">
        <v>128</v>
      </c>
      <c r="X9" s="5">
        <v>171</v>
      </c>
      <c r="Y9" s="5">
        <v>147</v>
      </c>
      <c r="Z9" s="74">
        <v>126</v>
      </c>
      <c r="AA9" s="74">
        <v>134</v>
      </c>
      <c r="AB9" s="74">
        <v>111</v>
      </c>
      <c r="AC9" s="74">
        <v>145</v>
      </c>
      <c r="AD9" s="74">
        <v>114</v>
      </c>
      <c r="AE9" s="75">
        <v>93</v>
      </c>
      <c r="AF9" s="229">
        <f t="shared" ref="AF9:AF17" si="0">IF(AE9=0," ",IF(AI9&gt;20,(AE9-AD9)/AD9," "))</f>
        <v>-0.18421052631578946</v>
      </c>
      <c r="AG9" s="230">
        <f t="shared" ref="AG9:AG17" si="1">IF(AE9=0," ",IF(AI9&gt;20,(AE9-Z9)/Z9," "))</f>
        <v>-0.26190476190476192</v>
      </c>
      <c r="AH9" s="231">
        <f t="shared" ref="AH9:AH17" si="2">IF(AE9=0," ",(IF(AI9&gt;20,(AE9-U9)/U9," ")))</f>
        <v>-0.35416666666666669</v>
      </c>
      <c r="AI9" s="125">
        <f t="shared" ref="AI9:AI16" si="3">IF(AC9&gt;0,AVERAGE(AC9:AE9),"  ")</f>
        <v>117.33333333333333</v>
      </c>
      <c r="AJ9" s="371">
        <f>RANK(AE9,($AE$9:$AE$13,$AE$15:$AE$16,$AE$19:$AE$37,$AE$41:$AE$52,$AE$55:$AE$63,$AE$66:$AE$71),0)</f>
        <v>5</v>
      </c>
      <c r="AK9" s="9"/>
    </row>
    <row r="10" spans="1:37" ht="12" x14ac:dyDescent="0.2">
      <c r="A10" s="401" t="s">
        <v>141</v>
      </c>
      <c r="B10" s="73"/>
      <c r="C10" s="73"/>
      <c r="D10" s="73"/>
      <c r="E10" s="73"/>
      <c r="F10" s="73"/>
      <c r="G10" s="73"/>
      <c r="H10" s="5"/>
      <c r="I10" s="5"/>
      <c r="J10" s="73"/>
      <c r="K10" s="73"/>
      <c r="L10" s="73"/>
      <c r="M10" s="73"/>
      <c r="N10" s="5"/>
      <c r="O10" s="266"/>
      <c r="P10" s="266"/>
      <c r="Q10" s="318"/>
      <c r="R10" s="318"/>
      <c r="S10" s="352"/>
      <c r="T10" s="318"/>
      <c r="U10" s="318">
        <v>0</v>
      </c>
      <c r="V10" s="276"/>
      <c r="W10" s="74"/>
      <c r="X10" s="5"/>
      <c r="Y10" s="5"/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5">
        <v>15</v>
      </c>
      <c r="AF10" s="229"/>
      <c r="AG10" s="230"/>
      <c r="AH10" s="231"/>
      <c r="AI10" s="125"/>
      <c r="AJ10" s="370">
        <f>RANK(AE10,($AE$9:$AE$13,$AE$15:$AE$16,$AE$19:$AE$37,$AE$41:$AE$52,$AE$55:$AE$63,$AE$66:$AE$71),0)</f>
        <v>25</v>
      </c>
      <c r="AK10" s="9"/>
    </row>
    <row r="11" spans="1:37" ht="12" x14ac:dyDescent="0.2">
      <c r="A11" s="402" t="s">
        <v>65</v>
      </c>
      <c r="B11" s="77">
        <v>11</v>
      </c>
      <c r="C11" s="77">
        <v>15</v>
      </c>
      <c r="D11" s="77">
        <v>6</v>
      </c>
      <c r="E11" s="77">
        <v>9</v>
      </c>
      <c r="F11" s="77">
        <v>11</v>
      </c>
      <c r="G11" s="77">
        <v>9</v>
      </c>
      <c r="H11" s="7">
        <v>5</v>
      </c>
      <c r="I11" s="7">
        <v>10</v>
      </c>
      <c r="J11" s="77">
        <v>7</v>
      </c>
      <c r="K11" s="77">
        <v>7</v>
      </c>
      <c r="L11" s="77">
        <v>8</v>
      </c>
      <c r="M11" s="77">
        <v>6</v>
      </c>
      <c r="N11" s="7">
        <v>9</v>
      </c>
      <c r="O11" s="267">
        <v>9</v>
      </c>
      <c r="P11" s="267">
        <v>12</v>
      </c>
      <c r="Q11" s="319">
        <v>10</v>
      </c>
      <c r="R11" s="319">
        <v>10</v>
      </c>
      <c r="S11" s="353">
        <v>12</v>
      </c>
      <c r="T11" s="319">
        <v>15</v>
      </c>
      <c r="U11" s="319">
        <v>9</v>
      </c>
      <c r="V11" s="277">
        <v>12</v>
      </c>
      <c r="W11" s="78">
        <v>15</v>
      </c>
      <c r="X11" s="7">
        <v>11</v>
      </c>
      <c r="Y11" s="7">
        <v>15</v>
      </c>
      <c r="Z11" s="78">
        <v>13</v>
      </c>
      <c r="AA11" s="78">
        <v>16</v>
      </c>
      <c r="AB11" s="78">
        <v>14</v>
      </c>
      <c r="AC11" s="78">
        <v>11</v>
      </c>
      <c r="AD11" s="78">
        <v>13</v>
      </c>
      <c r="AE11" s="79">
        <v>9</v>
      </c>
      <c r="AF11" s="232" t="str">
        <f t="shared" si="0"/>
        <v xml:space="preserve"> </v>
      </c>
      <c r="AG11" s="233" t="str">
        <f t="shared" si="1"/>
        <v xml:space="preserve"> </v>
      </c>
      <c r="AH11" s="234" t="str">
        <f t="shared" si="2"/>
        <v xml:space="preserve"> </v>
      </c>
      <c r="AI11" s="246">
        <f t="shared" si="3"/>
        <v>11</v>
      </c>
      <c r="AJ11" s="370">
        <f>RANK(AE11,($AE$9:$AE$13,$AE$15:$AE$16,$AE$19:$AE$37,$AE$41:$AE$52,$AE$55:$AE$63,$AE$66:$AE$71),0)</f>
        <v>33</v>
      </c>
      <c r="AK11" s="9"/>
    </row>
    <row r="12" spans="1:37" ht="12" x14ac:dyDescent="0.2">
      <c r="A12" s="401" t="s">
        <v>140</v>
      </c>
      <c r="B12" s="73"/>
      <c r="C12" s="73"/>
      <c r="D12" s="73"/>
      <c r="E12" s="73"/>
      <c r="F12" s="73"/>
      <c r="G12" s="73"/>
      <c r="H12" s="5"/>
      <c r="I12" s="5"/>
      <c r="J12" s="73"/>
      <c r="K12" s="73"/>
      <c r="L12" s="73"/>
      <c r="M12" s="73">
        <v>0</v>
      </c>
      <c r="N12" s="5"/>
      <c r="O12" s="266"/>
      <c r="P12" s="266"/>
      <c r="Q12" s="318"/>
      <c r="R12" s="318">
        <v>0</v>
      </c>
      <c r="S12" s="352">
        <v>0</v>
      </c>
      <c r="T12" s="318">
        <v>0</v>
      </c>
      <c r="U12" s="318">
        <v>0</v>
      </c>
      <c r="V12" s="276">
        <v>1</v>
      </c>
      <c r="W12" s="74">
        <v>15</v>
      </c>
      <c r="X12" s="5">
        <v>22</v>
      </c>
      <c r="Y12" s="5">
        <v>34</v>
      </c>
      <c r="Z12" s="74">
        <v>23</v>
      </c>
      <c r="AA12" s="74">
        <v>56</v>
      </c>
      <c r="AB12" s="74">
        <v>42</v>
      </c>
      <c r="AC12" s="74">
        <v>38</v>
      </c>
      <c r="AD12" s="74">
        <v>21</v>
      </c>
      <c r="AE12" s="75">
        <v>29</v>
      </c>
      <c r="AF12" s="229">
        <f t="shared" si="0"/>
        <v>0.38095238095238093</v>
      </c>
      <c r="AG12" s="230">
        <f t="shared" si="1"/>
        <v>0.2608695652173913</v>
      </c>
      <c r="AH12" s="231"/>
      <c r="AI12" s="125">
        <f t="shared" si="3"/>
        <v>29.333333333333332</v>
      </c>
      <c r="AJ12" s="370">
        <f>RANK(AE12,($AE$9:$AE$13,$AE$15:$AE$16,$AE$19:$AE$37,$AE$41:$AE$52,$AE$55:$AE$63,$AE$66:$AE$71),0)</f>
        <v>17</v>
      </c>
      <c r="AK12" s="9"/>
    </row>
    <row r="13" spans="1:37" ht="12" x14ac:dyDescent="0.2">
      <c r="A13" s="402" t="s">
        <v>26</v>
      </c>
      <c r="B13" s="77">
        <v>14</v>
      </c>
      <c r="C13" s="77">
        <v>21</v>
      </c>
      <c r="D13" s="77">
        <v>19</v>
      </c>
      <c r="E13" s="77">
        <v>18</v>
      </c>
      <c r="F13" s="77">
        <v>17</v>
      </c>
      <c r="G13" s="77">
        <v>14</v>
      </c>
      <c r="H13" s="7">
        <v>7</v>
      </c>
      <c r="I13" s="7">
        <v>11</v>
      </c>
      <c r="J13" s="77">
        <v>7</v>
      </c>
      <c r="K13" s="77">
        <v>11</v>
      </c>
      <c r="L13" s="77">
        <v>10</v>
      </c>
      <c r="M13" s="77">
        <v>15</v>
      </c>
      <c r="N13" s="7">
        <v>24</v>
      </c>
      <c r="O13" s="267">
        <v>23</v>
      </c>
      <c r="P13" s="267">
        <v>27</v>
      </c>
      <c r="Q13" s="319">
        <v>23</v>
      </c>
      <c r="R13" s="319">
        <f>35+1</f>
        <v>36</v>
      </c>
      <c r="S13" s="353">
        <v>23</v>
      </c>
      <c r="T13" s="319">
        <v>31</v>
      </c>
      <c r="U13" s="319">
        <v>37</v>
      </c>
      <c r="V13" s="277">
        <v>37</v>
      </c>
      <c r="W13" s="78">
        <v>36</v>
      </c>
      <c r="X13" s="7">
        <v>29</v>
      </c>
      <c r="Y13" s="7">
        <v>27</v>
      </c>
      <c r="Z13" s="78">
        <v>20</v>
      </c>
      <c r="AA13" s="78">
        <v>22</v>
      </c>
      <c r="AB13" s="78">
        <v>23</v>
      </c>
      <c r="AC13" s="78">
        <v>30</v>
      </c>
      <c r="AD13" s="78">
        <v>30</v>
      </c>
      <c r="AE13" s="79">
        <v>20</v>
      </c>
      <c r="AF13" s="232">
        <f t="shared" si="0"/>
        <v>-0.33333333333333331</v>
      </c>
      <c r="AG13" s="233">
        <f t="shared" si="1"/>
        <v>0</v>
      </c>
      <c r="AH13" s="234">
        <f t="shared" si="2"/>
        <v>-0.45945945945945948</v>
      </c>
      <c r="AI13" s="246">
        <f t="shared" si="3"/>
        <v>26.666666666666668</v>
      </c>
      <c r="AJ13" s="370">
        <f>RANK(AE13,($AE$9:$AE$13,$AE$15:$AE$16,$AE$19:$AE$37,$AE$41:$AE$52,$AE$55:$AE$63,$AE$66:$AE$71),0)</f>
        <v>23</v>
      </c>
      <c r="AK13" s="9"/>
    </row>
    <row r="14" spans="1:37" ht="12" x14ac:dyDescent="0.2">
      <c r="A14" s="403" t="s">
        <v>71</v>
      </c>
      <c r="B14" s="66">
        <f t="shared" ref="B14:AE14" si="4">SUM(B8:B13)</f>
        <v>25</v>
      </c>
      <c r="C14" s="66">
        <f t="shared" si="4"/>
        <v>36</v>
      </c>
      <c r="D14" s="66">
        <f t="shared" si="4"/>
        <v>25</v>
      </c>
      <c r="E14" s="66">
        <f t="shared" si="4"/>
        <v>27</v>
      </c>
      <c r="F14" s="66">
        <f t="shared" si="4"/>
        <v>28</v>
      </c>
      <c r="G14" s="66">
        <f t="shared" si="4"/>
        <v>23</v>
      </c>
      <c r="H14" s="66">
        <f t="shared" si="4"/>
        <v>12</v>
      </c>
      <c r="I14" s="66">
        <f t="shared" si="4"/>
        <v>29</v>
      </c>
      <c r="J14" s="66">
        <f t="shared" si="4"/>
        <v>42</v>
      </c>
      <c r="K14" s="66">
        <f t="shared" si="4"/>
        <v>39</v>
      </c>
      <c r="L14" s="66">
        <f t="shared" si="4"/>
        <v>58</v>
      </c>
      <c r="M14" s="66">
        <f t="shared" si="4"/>
        <v>73</v>
      </c>
      <c r="N14" s="66">
        <f t="shared" si="4"/>
        <v>89</v>
      </c>
      <c r="O14" s="268">
        <f t="shared" si="4"/>
        <v>106</v>
      </c>
      <c r="P14" s="268">
        <f t="shared" si="4"/>
        <v>98</v>
      </c>
      <c r="Q14" s="320">
        <f t="shared" si="4"/>
        <v>124</v>
      </c>
      <c r="R14" s="320">
        <f>SUM(R8:R13)</f>
        <v>145</v>
      </c>
      <c r="S14" s="320">
        <f t="shared" si="4"/>
        <v>143</v>
      </c>
      <c r="T14" s="320">
        <f t="shared" si="4"/>
        <v>163</v>
      </c>
      <c r="U14" s="320">
        <f t="shared" si="4"/>
        <v>196</v>
      </c>
      <c r="V14" s="180">
        <f t="shared" si="4"/>
        <v>200</v>
      </c>
      <c r="W14" s="66">
        <f t="shared" si="4"/>
        <v>204</v>
      </c>
      <c r="X14" s="66">
        <f t="shared" si="4"/>
        <v>240</v>
      </c>
      <c r="Y14" s="66">
        <f t="shared" si="4"/>
        <v>223</v>
      </c>
      <c r="Z14" s="66">
        <f t="shared" si="4"/>
        <v>182</v>
      </c>
      <c r="AA14" s="66">
        <f t="shared" si="4"/>
        <v>228</v>
      </c>
      <c r="AB14" s="66">
        <f t="shared" si="4"/>
        <v>190</v>
      </c>
      <c r="AC14" s="66">
        <f t="shared" si="4"/>
        <v>224</v>
      </c>
      <c r="AD14" s="66">
        <f t="shared" si="4"/>
        <v>178</v>
      </c>
      <c r="AE14" s="300">
        <f t="shared" si="4"/>
        <v>166</v>
      </c>
      <c r="AF14" s="240">
        <f t="shared" si="0"/>
        <v>-6.741573033707865E-2</v>
      </c>
      <c r="AG14" s="240">
        <f t="shared" si="1"/>
        <v>-8.7912087912087919E-2</v>
      </c>
      <c r="AH14" s="241">
        <f t="shared" si="2"/>
        <v>-0.15306122448979592</v>
      </c>
      <c r="AI14" s="124">
        <f t="shared" si="3"/>
        <v>189.33333333333334</v>
      </c>
      <c r="AJ14" s="370"/>
      <c r="AK14" s="9"/>
    </row>
    <row r="15" spans="1:37" ht="12" x14ac:dyDescent="0.2">
      <c r="A15" s="404" t="s">
        <v>142</v>
      </c>
      <c r="B15" s="118">
        <v>61</v>
      </c>
      <c r="C15" s="118">
        <v>76</v>
      </c>
      <c r="D15" s="118">
        <v>55</v>
      </c>
      <c r="E15" s="118">
        <v>49</v>
      </c>
      <c r="F15" s="118">
        <v>48</v>
      </c>
      <c r="G15" s="118">
        <v>37</v>
      </c>
      <c r="H15" s="119">
        <v>55</v>
      </c>
      <c r="I15" s="119">
        <v>54</v>
      </c>
      <c r="J15" s="118">
        <v>56</v>
      </c>
      <c r="K15" s="118">
        <v>80</v>
      </c>
      <c r="L15" s="118">
        <v>78</v>
      </c>
      <c r="M15" s="118">
        <v>84</v>
      </c>
      <c r="N15" s="119">
        <v>68</v>
      </c>
      <c r="O15" s="269">
        <v>76</v>
      </c>
      <c r="P15" s="269">
        <v>83</v>
      </c>
      <c r="Q15" s="321">
        <v>70</v>
      </c>
      <c r="R15" s="321">
        <v>84</v>
      </c>
      <c r="S15" s="354">
        <v>87</v>
      </c>
      <c r="T15" s="321">
        <v>93</v>
      </c>
      <c r="U15" s="321">
        <v>86</v>
      </c>
      <c r="V15" s="278">
        <v>94</v>
      </c>
      <c r="W15" s="118">
        <v>90</v>
      </c>
      <c r="X15" s="119">
        <v>97</v>
      </c>
      <c r="Y15" s="119">
        <v>87</v>
      </c>
      <c r="Z15" s="118">
        <v>89</v>
      </c>
      <c r="AA15" s="118">
        <v>89</v>
      </c>
      <c r="AB15" s="118">
        <v>83</v>
      </c>
      <c r="AC15" s="118">
        <v>99</v>
      </c>
      <c r="AD15" s="118">
        <v>93</v>
      </c>
      <c r="AE15" s="81">
        <v>85</v>
      </c>
      <c r="AF15" s="242">
        <f t="shared" si="0"/>
        <v>-8.6021505376344093E-2</v>
      </c>
      <c r="AG15" s="242">
        <f t="shared" si="1"/>
        <v>-4.49438202247191E-2</v>
      </c>
      <c r="AH15" s="243">
        <f t="shared" si="2"/>
        <v>-1.1627906976744186E-2</v>
      </c>
      <c r="AI15" s="126">
        <f t="shared" si="3"/>
        <v>92.333333333333329</v>
      </c>
      <c r="AJ15" s="370">
        <f>RANK(AE15,($AE$9:$AE$13,$AE$15:$AE$16,$AE$19:$AE$37,$AE$41:$AE$52,$AE$55:$AE$63,$AE$66:$AE$71),0)</f>
        <v>6</v>
      </c>
      <c r="AK15" s="9"/>
    </row>
    <row r="16" spans="1:37" ht="15" x14ac:dyDescent="0.25">
      <c r="A16" s="405" t="s">
        <v>143</v>
      </c>
      <c r="B16" s="120">
        <v>59</v>
      </c>
      <c r="C16" s="120">
        <v>62</v>
      </c>
      <c r="D16" s="120">
        <v>72</v>
      </c>
      <c r="E16" s="120">
        <v>74</v>
      </c>
      <c r="F16" s="120">
        <v>67</v>
      </c>
      <c r="G16" s="120">
        <v>54</v>
      </c>
      <c r="H16" s="121">
        <v>74</v>
      </c>
      <c r="I16" s="121">
        <v>46</v>
      </c>
      <c r="J16" s="120">
        <v>59</v>
      </c>
      <c r="K16" s="120">
        <v>55</v>
      </c>
      <c r="L16" s="120">
        <v>61</v>
      </c>
      <c r="M16" s="120">
        <v>59</v>
      </c>
      <c r="N16" s="121">
        <v>56</v>
      </c>
      <c r="O16" s="270">
        <v>63</v>
      </c>
      <c r="P16" s="270">
        <v>61</v>
      </c>
      <c r="Q16" s="322">
        <v>61</v>
      </c>
      <c r="R16" s="322">
        <v>74</v>
      </c>
      <c r="S16" s="355">
        <f>91+2</f>
        <v>93</v>
      </c>
      <c r="T16" s="322">
        <v>74</v>
      </c>
      <c r="U16" s="322">
        <v>91</v>
      </c>
      <c r="V16" s="279">
        <v>82</v>
      </c>
      <c r="W16" s="120">
        <v>133</v>
      </c>
      <c r="X16" s="121">
        <v>133</v>
      </c>
      <c r="Y16" s="121">
        <v>113</v>
      </c>
      <c r="Z16" s="120">
        <v>130</v>
      </c>
      <c r="AA16" s="120">
        <v>137</v>
      </c>
      <c r="AB16" s="120">
        <v>127</v>
      </c>
      <c r="AC16" s="120">
        <v>103</v>
      </c>
      <c r="AD16" s="120">
        <v>101</v>
      </c>
      <c r="AE16" s="82">
        <v>99</v>
      </c>
      <c r="AF16" s="240">
        <f t="shared" si="0"/>
        <v>-1.9801980198019802E-2</v>
      </c>
      <c r="AG16" s="240">
        <f t="shared" si="1"/>
        <v>-0.23846153846153847</v>
      </c>
      <c r="AH16" s="241">
        <f t="shared" si="2"/>
        <v>8.7912087912087919E-2</v>
      </c>
      <c r="AI16" s="124">
        <f t="shared" si="3"/>
        <v>101</v>
      </c>
      <c r="AJ16" s="371">
        <f>RANK(AE16,($AE$9:$AE$13,$AE$15:$AE$16,$AE$19:$AE$37,$AE$41:$AE$52,$AE$55:$AE$63,$AE$66:$AE$71),0)</f>
        <v>3</v>
      </c>
      <c r="AK16" s="9"/>
    </row>
    <row r="17" spans="1:40" ht="12.75" thickBot="1" x14ac:dyDescent="0.25">
      <c r="A17" s="406" t="s">
        <v>73</v>
      </c>
      <c r="B17" s="127">
        <f t="shared" ref="B17:AE17" si="5">+B16+B15+B14</f>
        <v>145</v>
      </c>
      <c r="C17" s="127">
        <f t="shared" si="5"/>
        <v>174</v>
      </c>
      <c r="D17" s="127">
        <f t="shared" si="5"/>
        <v>152</v>
      </c>
      <c r="E17" s="127">
        <f t="shared" si="5"/>
        <v>150</v>
      </c>
      <c r="F17" s="127">
        <f t="shared" si="5"/>
        <v>143</v>
      </c>
      <c r="G17" s="127">
        <f t="shared" si="5"/>
        <v>114</v>
      </c>
      <c r="H17" s="127">
        <f t="shared" si="5"/>
        <v>141</v>
      </c>
      <c r="I17" s="127">
        <f t="shared" si="5"/>
        <v>129</v>
      </c>
      <c r="J17" s="127">
        <f t="shared" si="5"/>
        <v>157</v>
      </c>
      <c r="K17" s="127">
        <f t="shared" si="5"/>
        <v>174</v>
      </c>
      <c r="L17" s="127">
        <f t="shared" si="5"/>
        <v>197</v>
      </c>
      <c r="M17" s="127">
        <f t="shared" si="5"/>
        <v>216</v>
      </c>
      <c r="N17" s="127">
        <f t="shared" si="5"/>
        <v>213</v>
      </c>
      <c r="O17" s="271">
        <f t="shared" si="5"/>
        <v>245</v>
      </c>
      <c r="P17" s="271">
        <f t="shared" si="5"/>
        <v>242</v>
      </c>
      <c r="Q17" s="323">
        <f t="shared" si="5"/>
        <v>255</v>
      </c>
      <c r="R17" s="323">
        <f t="shared" si="5"/>
        <v>303</v>
      </c>
      <c r="S17" s="323">
        <f t="shared" si="5"/>
        <v>323</v>
      </c>
      <c r="T17" s="323">
        <f t="shared" si="5"/>
        <v>330</v>
      </c>
      <c r="U17" s="323">
        <f t="shared" si="5"/>
        <v>373</v>
      </c>
      <c r="V17" s="181">
        <f t="shared" si="5"/>
        <v>376</v>
      </c>
      <c r="W17" s="127">
        <f t="shared" si="5"/>
        <v>427</v>
      </c>
      <c r="X17" s="127">
        <f t="shared" si="5"/>
        <v>470</v>
      </c>
      <c r="Y17" s="127">
        <f t="shared" si="5"/>
        <v>423</v>
      </c>
      <c r="Z17" s="127">
        <f t="shared" si="5"/>
        <v>401</v>
      </c>
      <c r="AA17" s="127">
        <f t="shared" si="5"/>
        <v>454</v>
      </c>
      <c r="AB17" s="127">
        <f t="shared" si="5"/>
        <v>400</v>
      </c>
      <c r="AC17" s="127">
        <f t="shared" si="5"/>
        <v>426</v>
      </c>
      <c r="AD17" s="127">
        <f t="shared" si="5"/>
        <v>372</v>
      </c>
      <c r="AE17" s="127">
        <f t="shared" si="5"/>
        <v>350</v>
      </c>
      <c r="AF17" s="244">
        <f t="shared" si="0"/>
        <v>-5.9139784946236562E-2</v>
      </c>
      <c r="AG17" s="244">
        <f t="shared" si="1"/>
        <v>-0.12718204488778054</v>
      </c>
      <c r="AH17" s="244">
        <f t="shared" si="2"/>
        <v>-6.1662198391420911E-2</v>
      </c>
      <c r="AI17" s="196">
        <f>IF(AC17&gt;0,AVERAGE(AC17:AE17),"  ")</f>
        <v>382.66666666666669</v>
      </c>
      <c r="AJ17" s="370"/>
      <c r="AK17" s="9"/>
    </row>
    <row r="18" spans="1:40" ht="13.5" thickTop="1" x14ac:dyDescent="0.2">
      <c r="A18" s="407" t="s">
        <v>74</v>
      </c>
      <c r="B18" s="67"/>
      <c r="C18" s="67"/>
      <c r="D18" s="67"/>
      <c r="E18" s="67"/>
      <c r="F18" s="68"/>
      <c r="G18" s="68"/>
      <c r="H18" s="68"/>
      <c r="I18" s="68"/>
      <c r="J18" s="67"/>
      <c r="K18" s="67"/>
      <c r="L18" s="67"/>
      <c r="M18" s="67"/>
      <c r="N18" s="69"/>
      <c r="O18" s="69"/>
      <c r="P18" s="69"/>
      <c r="Q18" s="69"/>
      <c r="R18" s="69"/>
      <c r="S18" s="70"/>
      <c r="T18" s="70"/>
      <c r="U18" s="70"/>
      <c r="V18" s="70"/>
      <c r="W18" s="70"/>
      <c r="X18" s="71"/>
      <c r="Y18" s="71"/>
      <c r="Z18" s="72"/>
      <c r="AA18" s="72"/>
      <c r="AB18" s="72"/>
      <c r="AC18" s="72"/>
      <c r="AD18" s="72"/>
      <c r="AE18" s="72"/>
      <c r="AF18" s="195"/>
      <c r="AG18" s="195"/>
      <c r="AH18" s="195"/>
      <c r="AI18" s="216"/>
      <c r="AJ18" s="370"/>
      <c r="AK18" s="9"/>
    </row>
    <row r="19" spans="1:40" ht="15" x14ac:dyDescent="0.25">
      <c r="A19" s="555" t="s">
        <v>1</v>
      </c>
      <c r="B19" s="100">
        <v>27</v>
      </c>
      <c r="C19" s="100">
        <v>18</v>
      </c>
      <c r="D19" s="100">
        <v>28</v>
      </c>
      <c r="E19" s="100">
        <v>21</v>
      </c>
      <c r="F19" s="100">
        <v>17</v>
      </c>
      <c r="G19" s="100">
        <v>23</v>
      </c>
      <c r="H19" s="93">
        <v>27</v>
      </c>
      <c r="I19" s="93">
        <v>31</v>
      </c>
      <c r="J19" s="100">
        <v>37</v>
      </c>
      <c r="K19" s="100">
        <v>41</v>
      </c>
      <c r="L19" s="100">
        <v>27</v>
      </c>
      <c r="M19" s="100">
        <v>32</v>
      </c>
      <c r="N19" s="93">
        <v>18</v>
      </c>
      <c r="O19" s="265">
        <v>21</v>
      </c>
      <c r="P19" s="265">
        <v>16</v>
      </c>
      <c r="Q19" s="324">
        <v>10</v>
      </c>
      <c r="R19" s="324">
        <v>17</v>
      </c>
      <c r="S19" s="351">
        <v>17</v>
      </c>
      <c r="T19" s="324">
        <v>12</v>
      </c>
      <c r="U19" s="324">
        <v>7</v>
      </c>
      <c r="V19" s="280">
        <v>11</v>
      </c>
      <c r="W19" s="92">
        <v>6</v>
      </c>
      <c r="X19" s="93">
        <v>9</v>
      </c>
      <c r="Y19" s="93">
        <v>13</v>
      </c>
      <c r="Z19" s="92">
        <v>7</v>
      </c>
      <c r="AA19" s="92">
        <v>2</v>
      </c>
      <c r="AB19" s="92">
        <v>6</v>
      </c>
      <c r="AC19" s="92">
        <v>5</v>
      </c>
      <c r="AD19" s="92">
        <v>4</v>
      </c>
      <c r="AE19" s="101">
        <v>2</v>
      </c>
      <c r="AF19" s="345" t="str">
        <f t="shared" ref="AF19:AF39" si="6">IF(AE19=0," ",IF(AI19&gt;20,(AE19-AD19)/AD19," "))</f>
        <v xml:space="preserve"> </v>
      </c>
      <c r="AG19" s="346" t="str">
        <f t="shared" ref="AG19:AG39" si="7">IF(AE19=0," ",IF(AI19&gt;20,(AE19-Z19)/Z19," "))</f>
        <v xml:space="preserve"> </v>
      </c>
      <c r="AH19" s="347" t="str">
        <f t="shared" ref="AH19:AH39" si="8">IF(AE19=0," ",(IF(AI19&gt;20,(AE19-U19)/U19," ")))</f>
        <v xml:space="preserve"> </v>
      </c>
      <c r="AI19" s="247">
        <f t="shared" ref="AI19:AI39" si="9">IF(AC19&gt;0,AVERAGE(AC19:AE19),"  ")</f>
        <v>3.6666666666666665</v>
      </c>
      <c r="AJ19" s="362">
        <f>RANK(AE19,($AE$9:$AE$13,$AE$15:$AE$16,$AE$19:$AE$37,$AE$41:$AE$52,$AE$55:$AE$63,$AE$66:$AE$71),0)</f>
        <v>44</v>
      </c>
      <c r="AK19" s="9"/>
    </row>
    <row r="20" spans="1:40" ht="12" x14ac:dyDescent="0.2">
      <c r="A20" s="408" t="s">
        <v>33</v>
      </c>
      <c r="B20" s="73">
        <v>1</v>
      </c>
      <c r="C20" s="73">
        <v>3</v>
      </c>
      <c r="D20" s="73">
        <v>3</v>
      </c>
      <c r="E20" s="73">
        <v>0</v>
      </c>
      <c r="F20" s="73">
        <v>3</v>
      </c>
      <c r="G20" s="73">
        <v>2</v>
      </c>
      <c r="H20" s="5">
        <v>2</v>
      </c>
      <c r="I20" s="5">
        <v>2</v>
      </c>
      <c r="J20" s="73">
        <v>11</v>
      </c>
      <c r="K20" s="73">
        <v>15</v>
      </c>
      <c r="L20" s="73">
        <v>17</v>
      </c>
      <c r="M20" s="73">
        <v>25</v>
      </c>
      <c r="N20" s="5">
        <v>34</v>
      </c>
      <c r="O20" s="266">
        <v>40</v>
      </c>
      <c r="P20" s="266">
        <v>44</v>
      </c>
      <c r="Q20" s="318">
        <v>44</v>
      </c>
      <c r="R20" s="318">
        <v>56</v>
      </c>
      <c r="S20" s="352">
        <f>40+1</f>
        <v>41</v>
      </c>
      <c r="T20" s="318">
        <v>54</v>
      </c>
      <c r="U20" s="318">
        <v>39</v>
      </c>
      <c r="V20" s="276">
        <v>53</v>
      </c>
      <c r="W20" s="74">
        <v>43</v>
      </c>
      <c r="X20" s="5">
        <v>47</v>
      </c>
      <c r="Y20" s="5">
        <v>44</v>
      </c>
      <c r="Z20" s="74">
        <v>43</v>
      </c>
      <c r="AA20" s="74">
        <v>45</v>
      </c>
      <c r="AB20" s="74">
        <v>43</v>
      </c>
      <c r="AC20" s="74">
        <v>36</v>
      </c>
      <c r="AD20" s="74">
        <v>28</v>
      </c>
      <c r="AE20" s="75">
        <v>30</v>
      </c>
      <c r="AF20" s="229">
        <f t="shared" si="6"/>
        <v>7.1428571428571425E-2</v>
      </c>
      <c r="AG20" s="230">
        <f t="shared" si="7"/>
        <v>-0.30232558139534882</v>
      </c>
      <c r="AH20" s="231">
        <f t="shared" si="8"/>
        <v>-0.23076923076923078</v>
      </c>
      <c r="AI20" s="125">
        <f t="shared" si="9"/>
        <v>31.333333333333332</v>
      </c>
      <c r="AJ20" s="370">
        <f>RANK(AE20,($AE$9:$AE$13,$AE$15:$AE$16,$AE$19:$AE$37,$AE$41:$AE$52,$AE$55:$AE$63,$AE$66:$AE$71),0)</f>
        <v>15</v>
      </c>
      <c r="AK20" s="9"/>
    </row>
    <row r="21" spans="1:40" ht="15" x14ac:dyDescent="0.25">
      <c r="A21" s="408" t="s">
        <v>106</v>
      </c>
      <c r="B21" s="73">
        <v>77</v>
      </c>
      <c r="C21" s="73">
        <v>97</v>
      </c>
      <c r="D21" s="73">
        <v>92</v>
      </c>
      <c r="E21" s="73">
        <v>95</v>
      </c>
      <c r="F21" s="73">
        <v>115</v>
      </c>
      <c r="G21" s="73">
        <v>94</v>
      </c>
      <c r="H21" s="5">
        <v>122</v>
      </c>
      <c r="I21" s="5">
        <v>129</v>
      </c>
      <c r="J21" s="73">
        <v>143</v>
      </c>
      <c r="K21" s="73">
        <v>135</v>
      </c>
      <c r="L21" s="73">
        <v>131</v>
      </c>
      <c r="M21" s="73">
        <v>142</v>
      </c>
      <c r="N21" s="5">
        <v>133</v>
      </c>
      <c r="O21" s="266">
        <v>155</v>
      </c>
      <c r="P21" s="266">
        <v>159</v>
      </c>
      <c r="Q21" s="318">
        <v>176</v>
      </c>
      <c r="R21" s="318">
        <v>138</v>
      </c>
      <c r="S21" s="352">
        <f>178+1</f>
        <v>179</v>
      </c>
      <c r="T21" s="318">
        <v>194</v>
      </c>
      <c r="U21" s="318">
        <f>182+3</f>
        <v>185</v>
      </c>
      <c r="V21" s="276">
        <v>162</v>
      </c>
      <c r="W21" s="74">
        <f>172+1</f>
        <v>173</v>
      </c>
      <c r="X21" s="5">
        <v>159</v>
      </c>
      <c r="Y21" s="5">
        <v>145</v>
      </c>
      <c r="Z21" s="74">
        <v>138</v>
      </c>
      <c r="AA21" s="74">
        <v>174</v>
      </c>
      <c r="AB21" s="74">
        <v>157</v>
      </c>
      <c r="AC21" s="74">
        <v>156</v>
      </c>
      <c r="AD21" s="74">
        <v>125</v>
      </c>
      <c r="AE21" s="75">
        <v>111</v>
      </c>
      <c r="AF21" s="229">
        <f t="shared" si="6"/>
        <v>-0.112</v>
      </c>
      <c r="AG21" s="230">
        <f t="shared" si="7"/>
        <v>-0.19565217391304349</v>
      </c>
      <c r="AH21" s="231">
        <f t="shared" si="8"/>
        <v>-0.4</v>
      </c>
      <c r="AI21" s="125">
        <f t="shared" si="9"/>
        <v>130.66666666666666</v>
      </c>
      <c r="AJ21" s="371">
        <f>RANK(AE21,($AE$9:$AE$13,$AE$15:$AE$16,$AE$19:$AE$37,$AE$41:$AE$52,$AE$55:$AE$63,$AE$66:$AE$71),0)</f>
        <v>1</v>
      </c>
      <c r="AK21" s="9"/>
    </row>
    <row r="22" spans="1:40" ht="12" x14ac:dyDescent="0.2">
      <c r="A22" s="408" t="s">
        <v>6</v>
      </c>
      <c r="B22" s="73"/>
      <c r="C22" s="73"/>
      <c r="D22" s="73"/>
      <c r="E22" s="73"/>
      <c r="F22" s="73"/>
      <c r="G22" s="73"/>
      <c r="H22" s="5"/>
      <c r="I22" s="5">
        <v>4</v>
      </c>
      <c r="J22" s="73">
        <v>3</v>
      </c>
      <c r="K22" s="73">
        <v>11</v>
      </c>
      <c r="L22" s="73">
        <v>15</v>
      </c>
      <c r="M22" s="73">
        <v>12</v>
      </c>
      <c r="N22" s="5">
        <v>14</v>
      </c>
      <c r="O22" s="266">
        <v>14</v>
      </c>
      <c r="P22" s="266">
        <v>19</v>
      </c>
      <c r="Q22" s="318">
        <v>18</v>
      </c>
      <c r="R22" s="318">
        <v>26</v>
      </c>
      <c r="S22" s="352">
        <f>33+1</f>
        <v>34</v>
      </c>
      <c r="T22" s="318">
        <v>44</v>
      </c>
      <c r="U22" s="318">
        <f>40+1+3</f>
        <v>44</v>
      </c>
      <c r="V22" s="276">
        <v>41</v>
      </c>
      <c r="W22" s="74">
        <v>32</v>
      </c>
      <c r="X22" s="5">
        <v>36</v>
      </c>
      <c r="Y22" s="5">
        <v>33</v>
      </c>
      <c r="Z22" s="74">
        <v>23</v>
      </c>
      <c r="AA22" s="74">
        <v>33</v>
      </c>
      <c r="AB22" s="74">
        <v>27</v>
      </c>
      <c r="AC22" s="74">
        <v>26</v>
      </c>
      <c r="AD22" s="74">
        <v>14</v>
      </c>
      <c r="AE22" s="75">
        <v>20</v>
      </c>
      <c r="AF22" s="229" t="str">
        <f t="shared" si="6"/>
        <v xml:space="preserve"> </v>
      </c>
      <c r="AG22" s="230" t="str">
        <f t="shared" si="7"/>
        <v xml:space="preserve"> </v>
      </c>
      <c r="AH22" s="231" t="str">
        <f t="shared" si="8"/>
        <v xml:space="preserve"> </v>
      </c>
      <c r="AI22" s="125">
        <f t="shared" si="9"/>
        <v>20</v>
      </c>
      <c r="AJ22" s="370">
        <f>RANK(AE22,($AE$9:$AE$13,$AE$15:$AE$16,$AE$19:$AE$37,$AE$41:$AE$52,$AE$55:$AE$63,$AE$66:$AE$71),0)</f>
        <v>23</v>
      </c>
      <c r="AK22" s="9"/>
    </row>
    <row r="23" spans="1:40" ht="12" x14ac:dyDescent="0.2">
      <c r="A23" s="410" t="s">
        <v>10</v>
      </c>
      <c r="B23" s="77">
        <v>35</v>
      </c>
      <c r="C23" s="77">
        <v>42</v>
      </c>
      <c r="D23" s="77">
        <v>31</v>
      </c>
      <c r="E23" s="77">
        <v>33</v>
      </c>
      <c r="F23" s="77">
        <v>31</v>
      </c>
      <c r="G23" s="77">
        <v>33</v>
      </c>
      <c r="H23" s="7">
        <v>42</v>
      </c>
      <c r="I23" s="7">
        <v>31</v>
      </c>
      <c r="J23" s="77">
        <v>38</v>
      </c>
      <c r="K23" s="77">
        <v>46</v>
      </c>
      <c r="L23" s="77">
        <v>45</v>
      </c>
      <c r="M23" s="77">
        <v>38</v>
      </c>
      <c r="N23" s="7">
        <v>45</v>
      </c>
      <c r="O23" s="267">
        <v>53</v>
      </c>
      <c r="P23" s="267">
        <v>46</v>
      </c>
      <c r="Q23" s="319">
        <v>64</v>
      </c>
      <c r="R23" s="319">
        <v>48</v>
      </c>
      <c r="S23" s="353">
        <f>60+2</f>
        <v>62</v>
      </c>
      <c r="T23" s="319">
        <v>54</v>
      </c>
      <c r="U23" s="319">
        <f>43+3</f>
        <v>46</v>
      </c>
      <c r="V23" s="277">
        <v>52</v>
      </c>
      <c r="W23" s="78">
        <f>50+4</f>
        <v>54</v>
      </c>
      <c r="X23" s="7">
        <v>50</v>
      </c>
      <c r="Y23" s="7">
        <v>44</v>
      </c>
      <c r="Z23" s="78">
        <v>37</v>
      </c>
      <c r="AA23" s="78">
        <v>56</v>
      </c>
      <c r="AB23" s="78">
        <v>44</v>
      </c>
      <c r="AC23" s="78">
        <v>31</v>
      </c>
      <c r="AD23" s="78">
        <v>43</v>
      </c>
      <c r="AE23" s="79">
        <v>27</v>
      </c>
      <c r="AF23" s="232">
        <f t="shared" si="6"/>
        <v>-0.37209302325581395</v>
      </c>
      <c r="AG23" s="233">
        <f t="shared" si="7"/>
        <v>-0.27027027027027029</v>
      </c>
      <c r="AH23" s="234">
        <f t="shared" si="8"/>
        <v>-0.41304347826086957</v>
      </c>
      <c r="AI23" s="246">
        <f t="shared" si="9"/>
        <v>33.666666666666664</v>
      </c>
      <c r="AJ23" s="370">
        <f>RANK(AE23,($AE$9:$AE$13,$AE$15:$AE$16,$AE$19:$AE$37,$AE$41:$AE$52,$AE$55:$AE$63,$AE$66:$AE$71),0)</f>
        <v>18</v>
      </c>
      <c r="AK23" s="9"/>
    </row>
    <row r="24" spans="1:40" ht="15" x14ac:dyDescent="0.25">
      <c r="A24" s="409" t="s">
        <v>47</v>
      </c>
      <c r="B24" s="102"/>
      <c r="C24" s="102"/>
      <c r="D24" s="102"/>
      <c r="E24" s="102"/>
      <c r="F24" s="102"/>
      <c r="G24" s="102"/>
      <c r="H24" s="103"/>
      <c r="I24" s="103"/>
      <c r="J24" s="102"/>
      <c r="K24" s="102"/>
      <c r="L24" s="102"/>
      <c r="M24" s="102"/>
      <c r="N24" s="103"/>
      <c r="O24" s="272">
        <v>1</v>
      </c>
      <c r="P24" s="272">
        <v>2</v>
      </c>
      <c r="Q24" s="325">
        <v>2</v>
      </c>
      <c r="R24" s="325">
        <v>0</v>
      </c>
      <c r="S24" s="356">
        <v>1</v>
      </c>
      <c r="T24" s="325">
        <v>2</v>
      </c>
      <c r="U24" s="325">
        <v>2</v>
      </c>
      <c r="V24" s="281">
        <v>2</v>
      </c>
      <c r="W24" s="88">
        <v>4</v>
      </c>
      <c r="X24" s="103">
        <v>3</v>
      </c>
      <c r="Y24" s="103">
        <v>0</v>
      </c>
      <c r="Z24" s="88">
        <v>1</v>
      </c>
      <c r="AA24" s="88">
        <v>2</v>
      </c>
      <c r="AB24" s="88">
        <v>3</v>
      </c>
      <c r="AC24" s="88">
        <v>1</v>
      </c>
      <c r="AD24" s="88">
        <v>1</v>
      </c>
      <c r="AE24" s="104">
        <v>2</v>
      </c>
      <c r="AF24" s="226" t="str">
        <f t="shared" si="6"/>
        <v xml:space="preserve"> </v>
      </c>
      <c r="AG24" s="227" t="str">
        <f t="shared" si="7"/>
        <v xml:space="preserve"> </v>
      </c>
      <c r="AH24" s="228" t="str">
        <f t="shared" si="8"/>
        <v xml:space="preserve"> </v>
      </c>
      <c r="AI24" s="245">
        <f t="shared" si="9"/>
        <v>1.3333333333333333</v>
      </c>
      <c r="AJ24" s="362">
        <f>RANK(AE24,($AE$9:$AE$13,$AE$15:$AE$16,$AE$19:$AE$37,$AE$41:$AE$52,$AE$55:$AE$63,$AE$66:$AE$71),0)</f>
        <v>44</v>
      </c>
      <c r="AK24" s="9"/>
    </row>
    <row r="25" spans="1:40" ht="12" x14ac:dyDescent="0.2">
      <c r="A25" s="408" t="s">
        <v>51</v>
      </c>
      <c r="B25" s="73"/>
      <c r="C25" s="73"/>
      <c r="D25" s="73"/>
      <c r="E25" s="73"/>
      <c r="F25" s="73"/>
      <c r="G25" s="73"/>
      <c r="H25" s="5"/>
      <c r="I25" s="5"/>
      <c r="J25" s="73"/>
      <c r="K25" s="73"/>
      <c r="L25" s="73"/>
      <c r="M25" s="73">
        <v>1</v>
      </c>
      <c r="N25" s="5">
        <v>4</v>
      </c>
      <c r="O25" s="266">
        <v>3</v>
      </c>
      <c r="P25" s="266">
        <v>6</v>
      </c>
      <c r="Q25" s="318">
        <v>17</v>
      </c>
      <c r="R25" s="318">
        <f>17+1</f>
        <v>18</v>
      </c>
      <c r="S25" s="352">
        <v>23</v>
      </c>
      <c r="T25" s="318">
        <v>21</v>
      </c>
      <c r="U25" s="318">
        <f>47+1</f>
        <v>48</v>
      </c>
      <c r="V25" s="276">
        <v>42</v>
      </c>
      <c r="W25" s="74">
        <f>42+2</f>
        <v>44</v>
      </c>
      <c r="X25" s="5">
        <v>40</v>
      </c>
      <c r="Y25" s="5">
        <v>53</v>
      </c>
      <c r="Z25" s="74">
        <v>47</v>
      </c>
      <c r="AA25" s="74">
        <v>49</v>
      </c>
      <c r="AB25" s="74">
        <v>51</v>
      </c>
      <c r="AC25" s="74">
        <v>38</v>
      </c>
      <c r="AD25" s="74">
        <v>33</v>
      </c>
      <c r="AE25" s="75">
        <v>24</v>
      </c>
      <c r="AF25" s="229">
        <f t="shared" si="6"/>
        <v>-0.27272727272727271</v>
      </c>
      <c r="AG25" s="230">
        <f t="shared" si="7"/>
        <v>-0.48936170212765956</v>
      </c>
      <c r="AH25" s="231">
        <f t="shared" si="8"/>
        <v>-0.5</v>
      </c>
      <c r="AI25" s="125">
        <f t="shared" si="9"/>
        <v>31.666666666666668</v>
      </c>
      <c r="AJ25" s="370">
        <f>RANK(AE25,($AE$9:$AE$13,$AE$15:$AE$16,$AE$19:$AE$37,$AE$41:$AE$52,$AE$55:$AE$63,$AE$66:$AE$71),0)</f>
        <v>21</v>
      </c>
      <c r="AK25" s="9"/>
    </row>
    <row r="26" spans="1:40" ht="15" x14ac:dyDescent="0.25">
      <c r="A26" s="408" t="s">
        <v>13</v>
      </c>
      <c r="B26" s="73">
        <v>3</v>
      </c>
      <c r="C26" s="73">
        <v>2</v>
      </c>
      <c r="D26" s="73">
        <v>1</v>
      </c>
      <c r="E26" s="73">
        <v>2</v>
      </c>
      <c r="F26" s="73">
        <v>1</v>
      </c>
      <c r="G26" s="73">
        <v>3</v>
      </c>
      <c r="H26" s="5">
        <v>1</v>
      </c>
      <c r="I26" s="5">
        <v>3</v>
      </c>
      <c r="J26" s="73">
        <v>5</v>
      </c>
      <c r="K26" s="73">
        <v>1</v>
      </c>
      <c r="L26" s="73">
        <v>5</v>
      </c>
      <c r="M26" s="73">
        <v>2</v>
      </c>
      <c r="N26" s="5">
        <v>1</v>
      </c>
      <c r="O26" s="266">
        <v>3</v>
      </c>
      <c r="P26" s="266">
        <v>2</v>
      </c>
      <c r="Q26" s="318">
        <v>0</v>
      </c>
      <c r="R26" s="318">
        <v>2</v>
      </c>
      <c r="S26" s="352">
        <v>2</v>
      </c>
      <c r="T26" s="318">
        <v>2</v>
      </c>
      <c r="U26" s="318">
        <v>1</v>
      </c>
      <c r="V26" s="276">
        <v>4</v>
      </c>
      <c r="W26" s="74">
        <f>3+3</f>
        <v>6</v>
      </c>
      <c r="X26" s="5">
        <v>1</v>
      </c>
      <c r="Y26" s="5">
        <v>4</v>
      </c>
      <c r="Z26" s="74">
        <v>5</v>
      </c>
      <c r="AA26" s="74">
        <v>3</v>
      </c>
      <c r="AB26" s="74">
        <v>5</v>
      </c>
      <c r="AC26" s="74">
        <v>3</v>
      </c>
      <c r="AD26" s="74">
        <v>3</v>
      </c>
      <c r="AE26" s="75">
        <v>3</v>
      </c>
      <c r="AF26" s="229" t="str">
        <f t="shared" si="6"/>
        <v xml:space="preserve"> </v>
      </c>
      <c r="AG26" s="230" t="str">
        <f t="shared" si="7"/>
        <v xml:space="preserve"> </v>
      </c>
      <c r="AH26" s="231" t="str">
        <f t="shared" si="8"/>
        <v xml:space="preserve"> </v>
      </c>
      <c r="AI26" s="125">
        <f t="shared" si="9"/>
        <v>3</v>
      </c>
      <c r="AJ26" s="362">
        <f>RANK(AE26,($AE$9:$AE$13,$AE$15:$AE$16,$AE$19:$AE$37,$AE$41:$AE$52,$AE$55:$AE$63,$AE$66:$AE$71),0)</f>
        <v>43</v>
      </c>
      <c r="AK26" s="9"/>
    </row>
    <row r="27" spans="1:40" ht="12" x14ac:dyDescent="0.2">
      <c r="A27" s="408" t="s">
        <v>15</v>
      </c>
      <c r="B27" s="73">
        <v>43</v>
      </c>
      <c r="C27" s="73">
        <v>47</v>
      </c>
      <c r="D27" s="73">
        <v>50</v>
      </c>
      <c r="E27" s="73">
        <v>65</v>
      </c>
      <c r="F27" s="73">
        <v>47</v>
      </c>
      <c r="G27" s="73">
        <v>37</v>
      </c>
      <c r="H27" s="5">
        <v>33</v>
      </c>
      <c r="I27" s="5">
        <v>45</v>
      </c>
      <c r="J27" s="73">
        <v>52</v>
      </c>
      <c r="K27" s="73">
        <v>85</v>
      </c>
      <c r="L27" s="73">
        <v>72</v>
      </c>
      <c r="M27" s="73">
        <v>55</v>
      </c>
      <c r="N27" s="5">
        <v>67</v>
      </c>
      <c r="O27" s="266">
        <v>50</v>
      </c>
      <c r="P27" s="266">
        <v>60</v>
      </c>
      <c r="Q27" s="318">
        <v>70</v>
      </c>
      <c r="R27" s="318">
        <f>75+1</f>
        <v>76</v>
      </c>
      <c r="S27" s="352">
        <f>53+2</f>
        <v>55</v>
      </c>
      <c r="T27" s="318">
        <v>66</v>
      </c>
      <c r="U27" s="318">
        <f>50+3</f>
        <v>53</v>
      </c>
      <c r="V27" s="276">
        <v>47</v>
      </c>
      <c r="W27" s="74">
        <v>39</v>
      </c>
      <c r="X27" s="5">
        <v>42</v>
      </c>
      <c r="Y27" s="5">
        <v>46</v>
      </c>
      <c r="Z27" s="74">
        <v>37</v>
      </c>
      <c r="AA27" s="74">
        <v>31</v>
      </c>
      <c r="AB27" s="74">
        <v>35</v>
      </c>
      <c r="AC27" s="74">
        <v>35</v>
      </c>
      <c r="AD27" s="74">
        <v>35</v>
      </c>
      <c r="AE27" s="75">
        <v>23</v>
      </c>
      <c r="AF27" s="229">
        <f t="shared" si="6"/>
        <v>-0.34285714285714286</v>
      </c>
      <c r="AG27" s="230">
        <f t="shared" si="7"/>
        <v>-0.3783783783783784</v>
      </c>
      <c r="AH27" s="231">
        <f t="shared" si="8"/>
        <v>-0.56603773584905659</v>
      </c>
      <c r="AI27" s="125">
        <f t="shared" si="9"/>
        <v>31</v>
      </c>
      <c r="AJ27" s="370">
        <f>RANK(AE27,($AE$9:$AE$13,$AE$15:$AE$16,$AE$19:$AE$37,$AE$41:$AE$52,$AE$55:$AE$63,$AE$66:$AE$71),0)</f>
        <v>22</v>
      </c>
      <c r="AK27" s="9"/>
      <c r="AN27" s="411" t="s">
        <v>57</v>
      </c>
    </row>
    <row r="28" spans="1:40" ht="12" x14ac:dyDescent="0.2">
      <c r="A28" s="585" t="s">
        <v>146</v>
      </c>
      <c r="B28" s="77"/>
      <c r="C28" s="77"/>
      <c r="D28" s="77"/>
      <c r="E28" s="77"/>
      <c r="F28" s="77"/>
      <c r="G28" s="77"/>
      <c r="H28" s="7"/>
      <c r="I28" s="7">
        <v>26</v>
      </c>
      <c r="J28" s="77">
        <v>53</v>
      </c>
      <c r="K28" s="77">
        <v>63</v>
      </c>
      <c r="L28" s="77">
        <v>55</v>
      </c>
      <c r="M28" s="77">
        <v>58</v>
      </c>
      <c r="N28" s="7">
        <v>61</v>
      </c>
      <c r="O28" s="267">
        <v>71</v>
      </c>
      <c r="P28" s="267">
        <v>67</v>
      </c>
      <c r="Q28" s="319">
        <v>52</v>
      </c>
      <c r="R28" s="319">
        <v>66</v>
      </c>
      <c r="S28" s="353">
        <v>67</v>
      </c>
      <c r="T28" s="319">
        <v>53</v>
      </c>
      <c r="U28" s="319">
        <v>51</v>
      </c>
      <c r="V28" s="277">
        <v>58</v>
      </c>
      <c r="W28" s="78">
        <v>56</v>
      </c>
      <c r="X28" s="7">
        <v>64</v>
      </c>
      <c r="Y28" s="7">
        <v>54</v>
      </c>
      <c r="Z28" s="78">
        <v>55</v>
      </c>
      <c r="AA28" s="78">
        <v>66</v>
      </c>
      <c r="AB28" s="78">
        <v>50</v>
      </c>
      <c r="AC28" s="78">
        <v>43</v>
      </c>
      <c r="AD28" s="78">
        <v>64</v>
      </c>
      <c r="AE28" s="79">
        <v>45</v>
      </c>
      <c r="AF28" s="232">
        <f t="shared" si="6"/>
        <v>-0.296875</v>
      </c>
      <c r="AG28" s="233">
        <f t="shared" si="7"/>
        <v>-0.18181818181818182</v>
      </c>
      <c r="AH28" s="234">
        <f t="shared" si="8"/>
        <v>-0.11764705882352941</v>
      </c>
      <c r="AI28" s="246">
        <f t="shared" si="9"/>
        <v>50.666666666666664</v>
      </c>
      <c r="AJ28" s="370">
        <f>RANK(AE28,($AE$9:$AE$13,$AE$15:$AE$16,$AE$19:$AE$37,$AE$41:$AE$52,$AE$55:$AE$63,$AE$66:$AE$71),0)</f>
        <v>12</v>
      </c>
      <c r="AK28" s="9"/>
      <c r="AN28" s="411"/>
    </row>
    <row r="29" spans="1:40" ht="12" x14ac:dyDescent="0.2">
      <c r="A29" s="586" t="s">
        <v>147</v>
      </c>
      <c r="B29" s="102"/>
      <c r="C29" s="102"/>
      <c r="D29" s="102"/>
      <c r="E29" s="102"/>
      <c r="F29" s="102"/>
      <c r="G29" s="102"/>
      <c r="H29" s="103"/>
      <c r="I29" s="103"/>
      <c r="J29" s="102"/>
      <c r="K29" s="102"/>
      <c r="L29" s="102"/>
      <c r="M29" s="102"/>
      <c r="N29" s="103"/>
      <c r="O29" s="272"/>
      <c r="P29" s="272"/>
      <c r="Q29" s="325"/>
      <c r="R29" s="325"/>
      <c r="S29" s="356"/>
      <c r="T29" s="325"/>
      <c r="U29" s="325"/>
      <c r="V29" s="281"/>
      <c r="W29" s="88"/>
      <c r="X29" s="103"/>
      <c r="Y29" s="103"/>
      <c r="Z29" s="88"/>
      <c r="AA29" s="88"/>
      <c r="AB29" s="88"/>
      <c r="AC29" s="88"/>
      <c r="AD29" s="88"/>
      <c r="AE29" s="104"/>
      <c r="AF29" s="226" t="str">
        <f t="shared" si="6"/>
        <v xml:space="preserve"> </v>
      </c>
      <c r="AG29" s="227" t="str">
        <f t="shared" si="7"/>
        <v xml:space="preserve"> </v>
      </c>
      <c r="AH29" s="228" t="str">
        <f t="shared" si="8"/>
        <v xml:space="preserve"> </v>
      </c>
      <c r="AI29" s="245" t="str">
        <f t="shared" si="9"/>
        <v xml:space="preserve">  </v>
      </c>
      <c r="AJ29" s="370">
        <f>RANK(AE29,($AE$9:$AE$13,$AE$15:$AE$16,$AE$19:$AE$37,$AE$41:$AE$52,$AE$55:$AE$63,$AE$66:$AE$71),0)</f>
        <v>48</v>
      </c>
      <c r="AK29" s="9"/>
      <c r="AN29" s="411"/>
    </row>
    <row r="30" spans="1:40" ht="12" x14ac:dyDescent="0.2">
      <c r="A30" s="408" t="s">
        <v>16</v>
      </c>
      <c r="B30" s="73"/>
      <c r="C30" s="73"/>
      <c r="D30" s="73"/>
      <c r="E30" s="73"/>
      <c r="F30" s="73"/>
      <c r="G30" s="73"/>
      <c r="H30" s="5"/>
      <c r="I30" s="5"/>
      <c r="J30" s="73"/>
      <c r="K30" s="73"/>
      <c r="L30" s="73">
        <v>1</v>
      </c>
      <c r="M30" s="73">
        <v>6</v>
      </c>
      <c r="N30" s="5">
        <v>9</v>
      </c>
      <c r="O30" s="266">
        <v>12</v>
      </c>
      <c r="P30" s="266">
        <v>11</v>
      </c>
      <c r="Q30" s="318">
        <v>11</v>
      </c>
      <c r="R30" s="318">
        <f>21+2</f>
        <v>23</v>
      </c>
      <c r="S30" s="352">
        <f>25+2</f>
        <v>27</v>
      </c>
      <c r="T30" s="318">
        <v>16</v>
      </c>
      <c r="U30" s="318">
        <f>17+1</f>
        <v>18</v>
      </c>
      <c r="V30" s="276">
        <v>15</v>
      </c>
      <c r="W30" s="74">
        <f>12+1</f>
        <v>13</v>
      </c>
      <c r="X30" s="5">
        <v>15</v>
      </c>
      <c r="Y30" s="5">
        <v>17</v>
      </c>
      <c r="Z30" s="74">
        <v>19</v>
      </c>
      <c r="AA30" s="74">
        <v>23</v>
      </c>
      <c r="AB30" s="74">
        <v>13</v>
      </c>
      <c r="AC30" s="74">
        <v>12</v>
      </c>
      <c r="AD30" s="74">
        <v>12</v>
      </c>
      <c r="AE30" s="75">
        <v>9</v>
      </c>
      <c r="AF30" s="229" t="str">
        <f t="shared" si="6"/>
        <v xml:space="preserve"> </v>
      </c>
      <c r="AG30" s="230" t="str">
        <f t="shared" si="7"/>
        <v xml:space="preserve"> </v>
      </c>
      <c r="AH30" s="231" t="str">
        <f t="shared" si="8"/>
        <v xml:space="preserve"> </v>
      </c>
      <c r="AI30" s="125">
        <f t="shared" si="9"/>
        <v>11</v>
      </c>
      <c r="AJ30" s="370">
        <f>RANK(AE30,($AE$9:$AE$13,$AE$15:$AE$16,$AE$19:$AE$37,$AE$41:$AE$52,$AE$55:$AE$63,$AE$66:$AE$71),0)</f>
        <v>33</v>
      </c>
      <c r="AK30" s="9"/>
      <c r="AN30" s="411" t="s">
        <v>58</v>
      </c>
    </row>
    <row r="31" spans="1:40" ht="12" x14ac:dyDescent="0.2">
      <c r="A31" s="412" t="s">
        <v>20</v>
      </c>
      <c r="B31" s="73">
        <v>2</v>
      </c>
      <c r="C31" s="73">
        <v>7</v>
      </c>
      <c r="D31" s="73">
        <v>6</v>
      </c>
      <c r="E31" s="73">
        <v>5</v>
      </c>
      <c r="F31" s="73">
        <v>4</v>
      </c>
      <c r="G31" s="73">
        <v>1</v>
      </c>
      <c r="H31" s="5">
        <v>5</v>
      </c>
      <c r="I31" s="5">
        <v>8</v>
      </c>
      <c r="J31" s="73">
        <v>9</v>
      </c>
      <c r="K31" s="73">
        <v>2</v>
      </c>
      <c r="L31" s="73">
        <v>5</v>
      </c>
      <c r="M31" s="73">
        <v>6</v>
      </c>
      <c r="N31" s="5">
        <v>2</v>
      </c>
      <c r="O31" s="266">
        <v>6</v>
      </c>
      <c r="P31" s="266">
        <v>7</v>
      </c>
      <c r="Q31" s="318">
        <v>9</v>
      </c>
      <c r="R31" s="318">
        <v>7</v>
      </c>
      <c r="S31" s="352">
        <v>10</v>
      </c>
      <c r="T31" s="318">
        <v>5</v>
      </c>
      <c r="U31" s="318">
        <v>9</v>
      </c>
      <c r="V31" s="276">
        <v>18</v>
      </c>
      <c r="W31" s="74">
        <v>8</v>
      </c>
      <c r="X31" s="5">
        <v>10</v>
      </c>
      <c r="Y31" s="5">
        <v>12</v>
      </c>
      <c r="Z31" s="74">
        <v>13</v>
      </c>
      <c r="AA31" s="74">
        <v>7</v>
      </c>
      <c r="AB31" s="74">
        <v>18</v>
      </c>
      <c r="AC31" s="74">
        <v>5</v>
      </c>
      <c r="AD31" s="74">
        <v>4</v>
      </c>
      <c r="AE31" s="75">
        <v>10</v>
      </c>
      <c r="AF31" s="229" t="str">
        <f t="shared" si="6"/>
        <v xml:space="preserve"> </v>
      </c>
      <c r="AG31" s="230" t="str">
        <f t="shared" si="7"/>
        <v xml:space="preserve"> </v>
      </c>
      <c r="AH31" s="231" t="str">
        <f t="shared" si="8"/>
        <v xml:space="preserve"> </v>
      </c>
      <c r="AI31" s="125">
        <f t="shared" si="9"/>
        <v>6.333333333333333</v>
      </c>
      <c r="AJ31" s="370">
        <f>RANK(AE31,($AE$9:$AE$13,$AE$15:$AE$16,$AE$19:$AE$37,$AE$41:$AE$52,$AE$55:$AE$63,$AE$66:$AE$71),0)</f>
        <v>32</v>
      </c>
      <c r="AK31" s="9"/>
    </row>
    <row r="32" spans="1:40" ht="12" x14ac:dyDescent="0.2">
      <c r="A32" s="412" t="s">
        <v>21</v>
      </c>
      <c r="B32" s="73">
        <v>11</v>
      </c>
      <c r="C32" s="73">
        <v>7</v>
      </c>
      <c r="D32" s="73">
        <v>10</v>
      </c>
      <c r="E32" s="73">
        <v>11</v>
      </c>
      <c r="F32" s="73">
        <v>12</v>
      </c>
      <c r="G32" s="73">
        <v>6</v>
      </c>
      <c r="H32" s="5">
        <v>9</v>
      </c>
      <c r="I32" s="5">
        <v>22</v>
      </c>
      <c r="J32" s="73">
        <v>16</v>
      </c>
      <c r="K32" s="73">
        <v>17</v>
      </c>
      <c r="L32" s="73">
        <v>4</v>
      </c>
      <c r="M32" s="73">
        <v>18</v>
      </c>
      <c r="N32" s="5">
        <v>14</v>
      </c>
      <c r="O32" s="266">
        <v>19</v>
      </c>
      <c r="P32" s="266">
        <v>14</v>
      </c>
      <c r="Q32" s="318">
        <v>14</v>
      </c>
      <c r="R32" s="318">
        <v>12</v>
      </c>
      <c r="S32" s="352">
        <f>7+1</f>
        <v>8</v>
      </c>
      <c r="T32" s="318">
        <v>9</v>
      </c>
      <c r="U32" s="318">
        <v>11</v>
      </c>
      <c r="V32" s="276">
        <v>8</v>
      </c>
      <c r="W32" s="74">
        <f>1+1</f>
        <v>2</v>
      </c>
      <c r="X32" s="5">
        <v>5</v>
      </c>
      <c r="Y32" s="5">
        <v>4</v>
      </c>
      <c r="Z32" s="74">
        <v>7</v>
      </c>
      <c r="AA32" s="74">
        <v>3</v>
      </c>
      <c r="AB32" s="74">
        <v>5</v>
      </c>
      <c r="AC32" s="74">
        <v>3</v>
      </c>
      <c r="AD32" s="74">
        <v>10</v>
      </c>
      <c r="AE32" s="75">
        <v>12</v>
      </c>
      <c r="AF32" s="229" t="str">
        <f t="shared" si="6"/>
        <v xml:space="preserve"> </v>
      </c>
      <c r="AG32" s="230" t="str">
        <f t="shared" si="7"/>
        <v xml:space="preserve"> </v>
      </c>
      <c r="AH32" s="231" t="str">
        <f t="shared" si="8"/>
        <v xml:space="preserve"> </v>
      </c>
      <c r="AI32" s="125">
        <f t="shared" si="9"/>
        <v>8.3333333333333339</v>
      </c>
      <c r="AJ32" s="370">
        <f>RANK(AE32,($AE$9:$AE$13,$AE$15:$AE$16,$AE$19:$AE$37,$AE$41:$AE$52,$AE$55:$AE$63,$AE$66:$AE$71),0)</f>
        <v>30</v>
      </c>
      <c r="AK32" s="9"/>
    </row>
    <row r="33" spans="1:169" ht="12" x14ac:dyDescent="0.2">
      <c r="A33" s="402" t="s">
        <v>24</v>
      </c>
      <c r="B33" s="77">
        <v>22</v>
      </c>
      <c r="C33" s="77">
        <v>27</v>
      </c>
      <c r="D33" s="77">
        <v>27</v>
      </c>
      <c r="E33" s="77">
        <v>25</v>
      </c>
      <c r="F33" s="77">
        <v>25</v>
      </c>
      <c r="G33" s="77">
        <v>28</v>
      </c>
      <c r="H33" s="7">
        <v>33</v>
      </c>
      <c r="I33" s="7">
        <v>25</v>
      </c>
      <c r="J33" s="77">
        <v>25</v>
      </c>
      <c r="K33" s="77">
        <v>25</v>
      </c>
      <c r="L33" s="77">
        <v>31</v>
      </c>
      <c r="M33" s="77">
        <v>30</v>
      </c>
      <c r="N33" s="7">
        <v>33</v>
      </c>
      <c r="O33" s="267">
        <v>26</v>
      </c>
      <c r="P33" s="267">
        <v>32</v>
      </c>
      <c r="Q33" s="319">
        <v>28</v>
      </c>
      <c r="R33" s="319">
        <v>34</v>
      </c>
      <c r="S33" s="353">
        <f>34+1</f>
        <v>35</v>
      </c>
      <c r="T33" s="319">
        <v>37</v>
      </c>
      <c r="U33" s="319">
        <f>33+1</f>
        <v>34</v>
      </c>
      <c r="V33" s="277">
        <v>33</v>
      </c>
      <c r="W33" s="78">
        <f>20+1</f>
        <v>21</v>
      </c>
      <c r="X33" s="7">
        <v>23</v>
      </c>
      <c r="Y33" s="7">
        <v>38</v>
      </c>
      <c r="Z33" s="78">
        <v>34</v>
      </c>
      <c r="AA33" s="78">
        <v>32</v>
      </c>
      <c r="AB33" s="78">
        <v>37</v>
      </c>
      <c r="AC33" s="78">
        <v>17</v>
      </c>
      <c r="AD33" s="78">
        <v>26</v>
      </c>
      <c r="AE33" s="79">
        <v>25</v>
      </c>
      <c r="AF33" s="232">
        <f t="shared" si="6"/>
        <v>-3.8461538461538464E-2</v>
      </c>
      <c r="AG33" s="233">
        <f t="shared" si="7"/>
        <v>-0.26470588235294118</v>
      </c>
      <c r="AH33" s="234">
        <f t="shared" si="8"/>
        <v>-0.26470588235294118</v>
      </c>
      <c r="AI33" s="246">
        <f t="shared" si="9"/>
        <v>22.666666666666668</v>
      </c>
      <c r="AJ33" s="370">
        <f>RANK(AE33,($AE$9:$AE$13,$AE$15:$AE$16,$AE$19:$AE$37,$AE$41:$AE$52,$AE$55:$AE$63,$AE$66:$AE$71),0)</f>
        <v>20</v>
      </c>
      <c r="AK33" s="9"/>
    </row>
    <row r="34" spans="1:169" ht="15" x14ac:dyDescent="0.25">
      <c r="A34" s="412" t="s">
        <v>25</v>
      </c>
      <c r="B34" s="73">
        <v>67</v>
      </c>
      <c r="C34" s="73">
        <v>74</v>
      </c>
      <c r="D34" s="73">
        <v>67</v>
      </c>
      <c r="E34" s="73">
        <v>81</v>
      </c>
      <c r="F34" s="73">
        <v>67</v>
      </c>
      <c r="G34" s="73">
        <v>71</v>
      </c>
      <c r="H34" s="5">
        <v>85</v>
      </c>
      <c r="I34" s="5">
        <v>79</v>
      </c>
      <c r="J34" s="73">
        <v>58</v>
      </c>
      <c r="K34" s="73">
        <v>84</v>
      </c>
      <c r="L34" s="73">
        <v>78</v>
      </c>
      <c r="M34" s="73">
        <v>71</v>
      </c>
      <c r="N34" s="5">
        <v>91</v>
      </c>
      <c r="O34" s="266">
        <v>106</v>
      </c>
      <c r="P34" s="266">
        <v>99</v>
      </c>
      <c r="Q34" s="318">
        <v>117</v>
      </c>
      <c r="R34" s="318">
        <v>120</v>
      </c>
      <c r="S34" s="352">
        <f>119+1</f>
        <v>120</v>
      </c>
      <c r="T34" s="318">
        <v>165</v>
      </c>
      <c r="U34" s="318">
        <f>121+4</f>
        <v>125</v>
      </c>
      <c r="V34" s="276">
        <v>144</v>
      </c>
      <c r="W34" s="74">
        <f>135+5</f>
        <v>140</v>
      </c>
      <c r="X34" s="5">
        <v>137</v>
      </c>
      <c r="Y34" s="5">
        <v>118</v>
      </c>
      <c r="Z34" s="74">
        <v>138</v>
      </c>
      <c r="AA34" s="74">
        <v>113</v>
      </c>
      <c r="AB34" s="74">
        <v>155</v>
      </c>
      <c r="AC34" s="74">
        <v>143</v>
      </c>
      <c r="AD34" s="74">
        <v>126</v>
      </c>
      <c r="AE34" s="75">
        <v>106</v>
      </c>
      <c r="AF34" s="229">
        <f t="shared" si="6"/>
        <v>-0.15873015873015872</v>
      </c>
      <c r="AG34" s="230">
        <f t="shared" si="7"/>
        <v>-0.2318840579710145</v>
      </c>
      <c r="AH34" s="231">
        <f t="shared" si="8"/>
        <v>-0.152</v>
      </c>
      <c r="AI34" s="125">
        <f t="shared" si="9"/>
        <v>125</v>
      </c>
      <c r="AJ34" s="371">
        <f>RANK(AE34,($AE$9:$AE$13,$AE$15:$AE$16,$AE$19:$AE$37,$AE$41:$AE$52,$AE$55:$AE$63,$AE$66:$AE$71),0)</f>
        <v>2</v>
      </c>
      <c r="AK34" s="9"/>
    </row>
    <row r="35" spans="1:169" ht="12" x14ac:dyDescent="0.2">
      <c r="A35" s="412" t="s">
        <v>28</v>
      </c>
      <c r="B35" s="73">
        <v>16</v>
      </c>
      <c r="C35" s="73">
        <v>16</v>
      </c>
      <c r="D35" s="73">
        <v>17</v>
      </c>
      <c r="E35" s="73">
        <v>16</v>
      </c>
      <c r="F35" s="73">
        <v>8</v>
      </c>
      <c r="G35" s="73">
        <v>16</v>
      </c>
      <c r="H35" s="5">
        <v>16</v>
      </c>
      <c r="I35" s="5">
        <v>12</v>
      </c>
      <c r="J35" s="73">
        <v>7</v>
      </c>
      <c r="K35" s="73">
        <v>5</v>
      </c>
      <c r="L35" s="73">
        <v>10</v>
      </c>
      <c r="M35" s="73">
        <v>7</v>
      </c>
      <c r="N35" s="5">
        <v>9</v>
      </c>
      <c r="O35" s="266">
        <v>11</v>
      </c>
      <c r="P35" s="266">
        <v>18</v>
      </c>
      <c r="Q35" s="318">
        <v>15</v>
      </c>
      <c r="R35" s="318">
        <v>21</v>
      </c>
      <c r="S35" s="352">
        <v>16</v>
      </c>
      <c r="T35" s="318">
        <v>12</v>
      </c>
      <c r="U35" s="318">
        <v>9</v>
      </c>
      <c r="V35" s="276">
        <v>20</v>
      </c>
      <c r="W35" s="74">
        <v>18</v>
      </c>
      <c r="X35" s="5">
        <v>13</v>
      </c>
      <c r="Y35" s="5">
        <v>17</v>
      </c>
      <c r="Z35" s="74">
        <v>14</v>
      </c>
      <c r="AA35" s="74">
        <v>11</v>
      </c>
      <c r="AB35" s="74">
        <v>23</v>
      </c>
      <c r="AC35" s="74">
        <v>11</v>
      </c>
      <c r="AD35" s="74">
        <v>15</v>
      </c>
      <c r="AE35" s="75">
        <v>8</v>
      </c>
      <c r="AF35" s="229" t="str">
        <f t="shared" si="6"/>
        <v xml:space="preserve"> </v>
      </c>
      <c r="AG35" s="230" t="str">
        <f t="shared" si="7"/>
        <v xml:space="preserve"> </v>
      </c>
      <c r="AH35" s="231" t="str">
        <f t="shared" si="8"/>
        <v xml:space="preserve"> </v>
      </c>
      <c r="AI35" s="125">
        <f t="shared" si="9"/>
        <v>11.333333333333334</v>
      </c>
      <c r="AJ35" s="370">
        <f>RANK(AE35,($AE$9:$AE$13,$AE$15:$AE$16,$AE$19:$AE$37,$AE$41:$AE$52,$AE$55:$AE$63,$AE$66:$AE$71),0)</f>
        <v>37</v>
      </c>
      <c r="AK35" s="9"/>
    </row>
    <row r="36" spans="1:169" ht="12" x14ac:dyDescent="0.2">
      <c r="A36" s="412" t="s">
        <v>29</v>
      </c>
      <c r="B36" s="73">
        <v>1</v>
      </c>
      <c r="C36" s="73">
        <v>0</v>
      </c>
      <c r="D36" s="73">
        <v>3</v>
      </c>
      <c r="E36" s="73">
        <v>5</v>
      </c>
      <c r="F36" s="73">
        <v>4</v>
      </c>
      <c r="G36" s="73">
        <v>6</v>
      </c>
      <c r="H36" s="5">
        <v>8</v>
      </c>
      <c r="I36" s="5">
        <v>12</v>
      </c>
      <c r="J36" s="73">
        <v>13</v>
      </c>
      <c r="K36" s="73">
        <v>8</v>
      </c>
      <c r="L36" s="73">
        <v>11</v>
      </c>
      <c r="M36" s="73">
        <v>16</v>
      </c>
      <c r="N36" s="5">
        <v>27</v>
      </c>
      <c r="O36" s="266">
        <v>17</v>
      </c>
      <c r="P36" s="266">
        <v>12</v>
      </c>
      <c r="Q36" s="318">
        <v>11</v>
      </c>
      <c r="R36" s="318">
        <v>6</v>
      </c>
      <c r="S36" s="352">
        <f>6+7</f>
        <v>13</v>
      </c>
      <c r="T36" s="318">
        <v>13</v>
      </c>
      <c r="U36" s="318">
        <f>9+2</f>
        <v>11</v>
      </c>
      <c r="V36" s="276">
        <v>11</v>
      </c>
      <c r="W36" s="74">
        <f>9+5</f>
        <v>14</v>
      </c>
      <c r="X36" s="5">
        <v>7</v>
      </c>
      <c r="Y36" s="5">
        <v>9</v>
      </c>
      <c r="Z36" s="74">
        <v>6</v>
      </c>
      <c r="AA36" s="74">
        <v>7</v>
      </c>
      <c r="AB36" s="74">
        <v>10</v>
      </c>
      <c r="AC36" s="74">
        <v>6</v>
      </c>
      <c r="AD36" s="74">
        <v>4</v>
      </c>
      <c r="AE36" s="75">
        <v>4</v>
      </c>
      <c r="AF36" s="229" t="str">
        <f t="shared" si="6"/>
        <v xml:space="preserve"> </v>
      </c>
      <c r="AG36" s="230" t="str">
        <f t="shared" si="7"/>
        <v xml:space="preserve"> </v>
      </c>
      <c r="AH36" s="231" t="str">
        <f t="shared" si="8"/>
        <v xml:space="preserve"> </v>
      </c>
      <c r="AI36" s="125">
        <f t="shared" si="9"/>
        <v>4.666666666666667</v>
      </c>
      <c r="AJ36" s="370">
        <f>RANK(AE36,($AE$9:$AE$13,$AE$15:$AE$16,$AE$19:$AE$37,$AE$41:$AE$52,$AE$55:$AE$63,$AE$66:$AE$71),0)</f>
        <v>42</v>
      </c>
      <c r="AK36" s="9"/>
    </row>
    <row r="37" spans="1:169" ht="15" x14ac:dyDescent="0.25">
      <c r="A37" s="412" t="s">
        <v>30</v>
      </c>
      <c r="B37" s="73"/>
      <c r="C37" s="73"/>
      <c r="D37" s="73"/>
      <c r="E37" s="73"/>
      <c r="F37" s="73"/>
      <c r="G37" s="73"/>
      <c r="H37" s="5"/>
      <c r="I37" s="5">
        <v>2</v>
      </c>
      <c r="J37" s="73">
        <v>6</v>
      </c>
      <c r="K37" s="73">
        <v>1</v>
      </c>
      <c r="L37" s="73">
        <v>5</v>
      </c>
      <c r="M37" s="73">
        <v>7</v>
      </c>
      <c r="N37" s="5">
        <v>5</v>
      </c>
      <c r="O37" s="266">
        <v>8</v>
      </c>
      <c r="P37" s="266">
        <v>9</v>
      </c>
      <c r="Q37" s="318">
        <v>4</v>
      </c>
      <c r="R37" s="318">
        <v>8</v>
      </c>
      <c r="S37" s="352">
        <v>6</v>
      </c>
      <c r="T37" s="318">
        <v>10</v>
      </c>
      <c r="U37" s="318">
        <v>12</v>
      </c>
      <c r="V37" s="276">
        <v>8</v>
      </c>
      <c r="W37" s="74">
        <v>5</v>
      </c>
      <c r="X37" s="5">
        <v>12</v>
      </c>
      <c r="Y37" s="5">
        <v>6</v>
      </c>
      <c r="Z37" s="74">
        <v>14</v>
      </c>
      <c r="AA37" s="74">
        <v>7</v>
      </c>
      <c r="AB37" s="74">
        <v>10</v>
      </c>
      <c r="AC37" s="74">
        <v>4</v>
      </c>
      <c r="AD37" s="74">
        <v>7</v>
      </c>
      <c r="AE37" s="75">
        <v>2</v>
      </c>
      <c r="AF37" s="229" t="str">
        <f t="shared" si="6"/>
        <v xml:space="preserve"> </v>
      </c>
      <c r="AG37" s="230" t="str">
        <f t="shared" si="7"/>
        <v xml:space="preserve"> </v>
      </c>
      <c r="AH37" s="231" t="str">
        <f t="shared" si="8"/>
        <v xml:space="preserve"> </v>
      </c>
      <c r="AI37" s="125">
        <f t="shared" si="9"/>
        <v>4.333333333333333</v>
      </c>
      <c r="AJ37" s="362">
        <f>RANK(AE37,($AE$9:$AE$13,$AE$15:$AE$16,$AE$19:$AE$37,$AE$41:$AE$52,$AE$55:$AE$63,$AE$66:$AE$71),0)</f>
        <v>44</v>
      </c>
      <c r="AK37" s="9"/>
    </row>
    <row r="38" spans="1:169" ht="13.5" hidden="1" x14ac:dyDescent="0.2">
      <c r="A38" s="412" t="s">
        <v>124</v>
      </c>
      <c r="B38" s="73">
        <v>7</v>
      </c>
      <c r="C38" s="73">
        <v>4</v>
      </c>
      <c r="D38" s="73"/>
      <c r="E38" s="73"/>
      <c r="F38" s="73"/>
      <c r="G38" s="73"/>
      <c r="H38" s="5"/>
      <c r="I38" s="5"/>
      <c r="J38" s="73"/>
      <c r="K38" s="73"/>
      <c r="L38" s="73"/>
      <c r="M38" s="73"/>
      <c r="N38" s="5"/>
      <c r="O38" s="266"/>
      <c r="P38" s="266"/>
      <c r="Q38" s="318"/>
      <c r="R38" s="318"/>
      <c r="S38" s="352"/>
      <c r="T38" s="318"/>
      <c r="U38" s="318"/>
      <c r="V38" s="276"/>
      <c r="W38" s="74"/>
      <c r="X38" s="5"/>
      <c r="Y38" s="5"/>
      <c r="Z38" s="75"/>
      <c r="AA38" s="75"/>
      <c r="AB38" s="75"/>
      <c r="AC38" s="75"/>
      <c r="AD38" s="75"/>
      <c r="AE38" s="75"/>
      <c r="AF38" s="84" t="str">
        <f t="shared" si="6"/>
        <v xml:space="preserve"> </v>
      </c>
      <c r="AG38" s="85" t="str">
        <f t="shared" si="7"/>
        <v xml:space="preserve"> </v>
      </c>
      <c r="AH38" s="87" t="str">
        <f t="shared" si="8"/>
        <v xml:space="preserve"> </v>
      </c>
      <c r="AI38" s="86" t="str">
        <f t="shared" si="9"/>
        <v xml:space="preserve">  </v>
      </c>
      <c r="AJ38" s="370">
        <f>RANK(AD38,($AD$8:$AD$12,$AD$14:$AD$15,$AD$18:$AD$36,$AD$40:$AD$51,$AD$54:$AD$62,$AD$65:$AD$69),0)</f>
        <v>41</v>
      </c>
      <c r="AK38" s="9"/>
    </row>
    <row r="39" spans="1:169" s="17" customFormat="1" ht="12.75" thickBot="1" x14ac:dyDescent="0.25">
      <c r="A39" s="413" t="s">
        <v>75</v>
      </c>
      <c r="B39" s="58">
        <f t="shared" ref="B39:AE39" si="10">SUM(B19:B38)</f>
        <v>312</v>
      </c>
      <c r="C39" s="58">
        <f t="shared" si="10"/>
        <v>344</v>
      </c>
      <c r="D39" s="58">
        <f t="shared" si="10"/>
        <v>335</v>
      </c>
      <c r="E39" s="58">
        <f t="shared" si="10"/>
        <v>359</v>
      </c>
      <c r="F39" s="58">
        <f t="shared" si="10"/>
        <v>334</v>
      </c>
      <c r="G39" s="58">
        <f t="shared" si="10"/>
        <v>320</v>
      </c>
      <c r="H39" s="58">
        <f t="shared" si="10"/>
        <v>383</v>
      </c>
      <c r="I39" s="58">
        <f t="shared" si="10"/>
        <v>431</v>
      </c>
      <c r="J39" s="58">
        <f t="shared" si="10"/>
        <v>476</v>
      </c>
      <c r="K39" s="58">
        <f t="shared" si="10"/>
        <v>539</v>
      </c>
      <c r="L39" s="58">
        <f t="shared" si="10"/>
        <v>512</v>
      </c>
      <c r="M39" s="58">
        <f t="shared" si="10"/>
        <v>526</v>
      </c>
      <c r="N39" s="58">
        <f t="shared" si="10"/>
        <v>567</v>
      </c>
      <c r="O39" s="273">
        <f t="shared" si="10"/>
        <v>616</v>
      </c>
      <c r="P39" s="273">
        <f t="shared" si="10"/>
        <v>623</v>
      </c>
      <c r="Q39" s="326">
        <f t="shared" si="10"/>
        <v>662</v>
      </c>
      <c r="R39" s="326">
        <f t="shared" si="10"/>
        <v>678</v>
      </c>
      <c r="S39" s="326">
        <f t="shared" si="10"/>
        <v>716</v>
      </c>
      <c r="T39" s="326">
        <f t="shared" si="10"/>
        <v>769</v>
      </c>
      <c r="U39" s="326">
        <f t="shared" si="10"/>
        <v>705</v>
      </c>
      <c r="V39" s="186">
        <f t="shared" si="10"/>
        <v>729</v>
      </c>
      <c r="W39" s="58">
        <f t="shared" si="10"/>
        <v>678</v>
      </c>
      <c r="X39" s="58">
        <f t="shared" si="10"/>
        <v>673</v>
      </c>
      <c r="Y39" s="58">
        <f t="shared" si="10"/>
        <v>657</v>
      </c>
      <c r="Z39" s="58">
        <f t="shared" si="10"/>
        <v>638</v>
      </c>
      <c r="AA39" s="58">
        <f t="shared" si="10"/>
        <v>664</v>
      </c>
      <c r="AB39" s="58">
        <f t="shared" si="10"/>
        <v>692</v>
      </c>
      <c r="AC39" s="58">
        <f t="shared" si="10"/>
        <v>575</v>
      </c>
      <c r="AD39" s="58">
        <f t="shared" si="10"/>
        <v>554</v>
      </c>
      <c r="AE39" s="58">
        <f t="shared" si="10"/>
        <v>463</v>
      </c>
      <c r="AF39" s="105">
        <f t="shared" si="6"/>
        <v>-0.16425992779783394</v>
      </c>
      <c r="AG39" s="106">
        <f t="shared" si="7"/>
        <v>-0.27429467084639497</v>
      </c>
      <c r="AH39" s="107">
        <f t="shared" si="8"/>
        <v>-0.34326241134751773</v>
      </c>
      <c r="AI39" s="58">
        <f t="shared" si="9"/>
        <v>530.66666666666663</v>
      </c>
      <c r="AJ39" s="370"/>
      <c r="AK39" s="91"/>
      <c r="AL39" s="91"/>
      <c r="AM39" s="91"/>
      <c r="AN39" s="91"/>
      <c r="AO39" s="91"/>
      <c r="AP39" s="91"/>
      <c r="AQ39" s="91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</row>
    <row r="40" spans="1:169" ht="13.5" thickTop="1" x14ac:dyDescent="0.2">
      <c r="A40" s="414" t="s">
        <v>76</v>
      </c>
      <c r="B40" s="18"/>
      <c r="C40" s="19"/>
      <c r="D40" s="19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1"/>
      <c r="Z40" s="21"/>
      <c r="AA40" s="21"/>
      <c r="AB40" s="21"/>
      <c r="AC40" s="21"/>
      <c r="AD40" s="21"/>
      <c r="AE40" s="21"/>
      <c r="AF40" s="21"/>
      <c r="AG40" s="22"/>
      <c r="AH40" s="199"/>
      <c r="AI40" s="23"/>
      <c r="AJ40" s="370"/>
      <c r="AK40" s="9"/>
    </row>
    <row r="41" spans="1:169" ht="12" x14ac:dyDescent="0.2">
      <c r="A41" s="584" t="s">
        <v>2</v>
      </c>
      <c r="B41" s="100">
        <v>78</v>
      </c>
      <c r="C41" s="100">
        <v>82</v>
      </c>
      <c r="D41" s="100">
        <v>104</v>
      </c>
      <c r="E41" s="100">
        <v>132</v>
      </c>
      <c r="F41" s="100">
        <v>106</v>
      </c>
      <c r="G41" s="100">
        <v>92</v>
      </c>
      <c r="H41" s="93">
        <v>92</v>
      </c>
      <c r="I41" s="93">
        <v>90</v>
      </c>
      <c r="J41" s="100">
        <v>104</v>
      </c>
      <c r="K41" s="100">
        <v>71</v>
      </c>
      <c r="L41" s="100">
        <v>82</v>
      </c>
      <c r="M41" s="100">
        <v>82</v>
      </c>
      <c r="N41" s="93">
        <v>91</v>
      </c>
      <c r="O41" s="265">
        <v>91</v>
      </c>
      <c r="P41" s="265">
        <v>85</v>
      </c>
      <c r="Q41" s="324">
        <v>93</v>
      </c>
      <c r="R41" s="324">
        <f>107+2</f>
        <v>109</v>
      </c>
      <c r="S41" s="351">
        <f>90+4</f>
        <v>94</v>
      </c>
      <c r="T41" s="324">
        <v>107</v>
      </c>
      <c r="U41" s="324">
        <v>110</v>
      </c>
      <c r="V41" s="280">
        <v>119</v>
      </c>
      <c r="W41" s="92">
        <v>119</v>
      </c>
      <c r="X41" s="93">
        <v>109</v>
      </c>
      <c r="Y41" s="93">
        <v>107</v>
      </c>
      <c r="Z41" s="92">
        <v>104</v>
      </c>
      <c r="AA41" s="92">
        <v>102</v>
      </c>
      <c r="AB41" s="92">
        <v>91</v>
      </c>
      <c r="AC41" s="92">
        <v>88</v>
      </c>
      <c r="AD41" s="92">
        <v>64</v>
      </c>
      <c r="AE41" s="101">
        <v>82</v>
      </c>
      <c r="AF41" s="345">
        <f t="shared" ref="AF41:AF53" si="11">IF(AE41=0," ",IF(AI41&gt;20,(AE41-AD41)/AD41," "))</f>
        <v>0.28125</v>
      </c>
      <c r="AG41" s="346">
        <f t="shared" ref="AG41:AG53" si="12">IF(AE41=0," ",IF(AI41&gt;20,(AE41-Z41)/Z41," "))</f>
        <v>-0.21153846153846154</v>
      </c>
      <c r="AH41" s="347">
        <f t="shared" ref="AH41:AH53" si="13">IF(AE41=0," ",(IF(AI41&gt;20,(AE41-U41)/U41," ")))</f>
        <v>-0.25454545454545452</v>
      </c>
      <c r="AI41" s="247">
        <f t="shared" ref="AI41:AI53" si="14">IF(AC41&gt;0,AVERAGE(AC41:AE41),"  ")</f>
        <v>78</v>
      </c>
      <c r="AJ41" s="370">
        <f>RANK(AE41,($AE$9:$AE$13,$AE$15:$AE$16,$AE$19:$AE$37,$AE$41:$AE$52,$AE$55:$AE$63,$AE$66:$AE$71),0)</f>
        <v>7</v>
      </c>
      <c r="AK41" s="9"/>
    </row>
    <row r="42" spans="1:169" ht="12" x14ac:dyDescent="0.2">
      <c r="A42" s="415" t="s">
        <v>4</v>
      </c>
      <c r="B42" s="73">
        <v>11</v>
      </c>
      <c r="C42" s="73">
        <v>4</v>
      </c>
      <c r="D42" s="73">
        <v>9</v>
      </c>
      <c r="E42" s="73">
        <v>10</v>
      </c>
      <c r="F42" s="73">
        <v>11</v>
      </c>
      <c r="G42" s="73">
        <v>6</v>
      </c>
      <c r="H42" s="5">
        <v>13</v>
      </c>
      <c r="I42" s="5">
        <v>12</v>
      </c>
      <c r="J42" s="73">
        <v>10</v>
      </c>
      <c r="K42" s="73">
        <v>7</v>
      </c>
      <c r="L42" s="73">
        <v>12</v>
      </c>
      <c r="M42" s="73">
        <v>8</v>
      </c>
      <c r="N42" s="5">
        <v>9</v>
      </c>
      <c r="O42" s="266">
        <v>12</v>
      </c>
      <c r="P42" s="266">
        <v>10</v>
      </c>
      <c r="Q42" s="318">
        <v>11</v>
      </c>
      <c r="R42" s="318">
        <v>7</v>
      </c>
      <c r="S42" s="352">
        <v>13</v>
      </c>
      <c r="T42" s="318">
        <v>10</v>
      </c>
      <c r="U42" s="318">
        <v>14</v>
      </c>
      <c r="V42" s="276">
        <v>15</v>
      </c>
      <c r="W42" s="74">
        <v>20</v>
      </c>
      <c r="X42" s="5">
        <v>14</v>
      </c>
      <c r="Y42" s="5">
        <v>15</v>
      </c>
      <c r="Z42" s="74">
        <v>20</v>
      </c>
      <c r="AA42" s="74">
        <v>24</v>
      </c>
      <c r="AB42" s="74">
        <v>14</v>
      </c>
      <c r="AC42" s="74">
        <v>17</v>
      </c>
      <c r="AD42" s="74">
        <v>13</v>
      </c>
      <c r="AE42" s="75">
        <v>9</v>
      </c>
      <c r="AF42" s="229" t="str">
        <f t="shared" si="11"/>
        <v xml:space="preserve"> </v>
      </c>
      <c r="AG42" s="230" t="str">
        <f t="shared" si="12"/>
        <v xml:space="preserve"> </v>
      </c>
      <c r="AH42" s="231" t="str">
        <f t="shared" si="13"/>
        <v xml:space="preserve"> </v>
      </c>
      <c r="AI42" s="125">
        <f t="shared" si="14"/>
        <v>13</v>
      </c>
      <c r="AJ42" s="370">
        <f>RANK(AE42,($AE$9:$AE$13,$AE$15:$AE$16,$AE$19:$AE$37,$AE$41:$AE$52,$AE$55:$AE$63,$AE$66:$AE$71),0)</f>
        <v>33</v>
      </c>
      <c r="AK42" s="9"/>
    </row>
    <row r="43" spans="1:169" ht="12" x14ac:dyDescent="0.2">
      <c r="A43" s="415" t="s">
        <v>5</v>
      </c>
      <c r="B43" s="73">
        <v>0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5">
        <v>1</v>
      </c>
      <c r="I43" s="5">
        <v>11</v>
      </c>
      <c r="J43" s="73">
        <v>6</v>
      </c>
      <c r="K43" s="73">
        <v>15</v>
      </c>
      <c r="L43" s="73">
        <v>15</v>
      </c>
      <c r="M43" s="73">
        <v>18</v>
      </c>
      <c r="N43" s="5">
        <v>10</v>
      </c>
      <c r="O43" s="266">
        <v>6</v>
      </c>
      <c r="P43" s="266">
        <v>16</v>
      </c>
      <c r="Q43" s="318">
        <v>9</v>
      </c>
      <c r="R43" s="318">
        <f>17+1</f>
        <v>18</v>
      </c>
      <c r="S43" s="352">
        <v>17</v>
      </c>
      <c r="T43" s="318">
        <v>11</v>
      </c>
      <c r="U43" s="318">
        <v>15</v>
      </c>
      <c r="V43" s="276">
        <v>26</v>
      </c>
      <c r="W43" s="74">
        <v>25</v>
      </c>
      <c r="X43" s="5">
        <v>31</v>
      </c>
      <c r="Y43" s="5">
        <v>36</v>
      </c>
      <c r="Z43" s="74">
        <v>36</v>
      </c>
      <c r="AA43" s="74">
        <v>39</v>
      </c>
      <c r="AB43" s="74">
        <v>26</v>
      </c>
      <c r="AC43" s="74">
        <v>29</v>
      </c>
      <c r="AD43" s="74">
        <v>31</v>
      </c>
      <c r="AE43" s="75">
        <v>27</v>
      </c>
      <c r="AF43" s="229">
        <f t="shared" si="11"/>
        <v>-0.12903225806451613</v>
      </c>
      <c r="AG43" s="230">
        <f t="shared" si="12"/>
        <v>-0.25</v>
      </c>
      <c r="AH43" s="231">
        <f t="shared" si="13"/>
        <v>0.8</v>
      </c>
      <c r="AI43" s="125">
        <f t="shared" si="14"/>
        <v>29</v>
      </c>
      <c r="AJ43" s="370">
        <f>RANK(AE43,($AE$9:$AE$13,$AE$15:$AE$16,$AE$19:$AE$37,$AE$41:$AE$52,$AE$55:$AE$63,$AE$66:$AE$71),0)</f>
        <v>18</v>
      </c>
      <c r="AK43" s="9"/>
    </row>
    <row r="44" spans="1:169" ht="15" x14ac:dyDescent="0.25">
      <c r="A44" s="415" t="s">
        <v>148</v>
      </c>
      <c r="B44" s="73"/>
      <c r="C44" s="73"/>
      <c r="D44" s="73"/>
      <c r="E44" s="73"/>
      <c r="F44" s="73"/>
      <c r="G44" s="73"/>
      <c r="H44" s="5"/>
      <c r="I44" s="5"/>
      <c r="J44" s="73"/>
      <c r="K44" s="73"/>
      <c r="L44" s="73"/>
      <c r="M44" s="73"/>
      <c r="N44" s="5"/>
      <c r="O44" s="266"/>
      <c r="P44" s="266"/>
      <c r="Q44" s="318"/>
      <c r="R44" s="318"/>
      <c r="S44" s="352"/>
      <c r="T44" s="318">
        <v>0</v>
      </c>
      <c r="U44" s="318">
        <v>0</v>
      </c>
      <c r="V44" s="276"/>
      <c r="W44" s="74"/>
      <c r="X44" s="5"/>
      <c r="Y44" s="5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4</v>
      </c>
      <c r="AE44" s="75">
        <v>9</v>
      </c>
      <c r="AF44" s="229">
        <f t="shared" si="11"/>
        <v>1.25</v>
      </c>
      <c r="AG44" s="230"/>
      <c r="AH44" s="231"/>
      <c r="AI44" s="125" t="str">
        <f t="shared" si="14"/>
        <v xml:space="preserve">  </v>
      </c>
      <c r="AJ44" s="372">
        <f>RANK(AE44,($AE$9:$AE$13,$AE$15:$AE$16,$AE$19:$AE$37,$AE$41:$AE$52,$AE$55:$AE$63,$AE$66:$AE$71),0)</f>
        <v>33</v>
      </c>
      <c r="AK44" s="373" t="s">
        <v>117</v>
      </c>
    </row>
    <row r="45" spans="1:169" ht="12" x14ac:dyDescent="0.2">
      <c r="A45" s="416" t="s">
        <v>54</v>
      </c>
      <c r="B45" s="77"/>
      <c r="C45" s="77"/>
      <c r="D45" s="77"/>
      <c r="E45" s="77"/>
      <c r="F45" s="77"/>
      <c r="G45" s="77">
        <v>0</v>
      </c>
      <c r="H45" s="7"/>
      <c r="I45" s="7"/>
      <c r="J45" s="77"/>
      <c r="K45" s="77"/>
      <c r="L45" s="77"/>
      <c r="M45" s="77">
        <v>0</v>
      </c>
      <c r="N45" s="7">
        <v>0</v>
      </c>
      <c r="O45" s="267">
        <v>0</v>
      </c>
      <c r="P45" s="267">
        <v>0</v>
      </c>
      <c r="Q45" s="319">
        <v>1</v>
      </c>
      <c r="R45" s="319">
        <v>1</v>
      </c>
      <c r="S45" s="353">
        <v>2</v>
      </c>
      <c r="T45" s="319">
        <v>10</v>
      </c>
      <c r="U45" s="319">
        <f>4+2</f>
        <v>6</v>
      </c>
      <c r="V45" s="277">
        <v>19</v>
      </c>
      <c r="W45" s="78">
        <f>4+2</f>
        <v>6</v>
      </c>
      <c r="X45" s="7">
        <v>7</v>
      </c>
      <c r="Y45" s="7">
        <v>11</v>
      </c>
      <c r="Z45" s="78">
        <v>9</v>
      </c>
      <c r="AA45" s="78">
        <v>17</v>
      </c>
      <c r="AB45" s="78">
        <v>10</v>
      </c>
      <c r="AC45" s="78">
        <v>16</v>
      </c>
      <c r="AD45" s="78">
        <v>6</v>
      </c>
      <c r="AE45" s="79">
        <v>14</v>
      </c>
      <c r="AF45" s="232" t="str">
        <f t="shared" si="11"/>
        <v xml:space="preserve"> </v>
      </c>
      <c r="AG45" s="233" t="str">
        <f t="shared" si="12"/>
        <v xml:space="preserve"> </v>
      </c>
      <c r="AH45" s="234" t="str">
        <f t="shared" si="13"/>
        <v xml:space="preserve"> </v>
      </c>
      <c r="AI45" s="246">
        <f t="shared" si="14"/>
        <v>12</v>
      </c>
      <c r="AJ45" s="370">
        <f>RANK(AE45,($AE$9:$AE$13,$AE$15:$AE$16,$AE$19:$AE$37,$AE$41:$AE$52,$AE$55:$AE$63,$AE$66:$AE$71),0)</f>
        <v>27</v>
      </c>
      <c r="AK45" s="9"/>
    </row>
    <row r="46" spans="1:169" ht="12" hidden="1" x14ac:dyDescent="0.2">
      <c r="A46" s="415" t="s">
        <v>151</v>
      </c>
      <c r="B46" s="73">
        <v>6</v>
      </c>
      <c r="C46" s="73">
        <v>8</v>
      </c>
      <c r="D46" s="73">
        <v>12</v>
      </c>
      <c r="E46" s="73">
        <v>21</v>
      </c>
      <c r="F46" s="73">
        <v>15</v>
      </c>
      <c r="G46" s="73">
        <v>6</v>
      </c>
      <c r="H46" s="5">
        <v>13</v>
      </c>
      <c r="I46" s="5">
        <v>12</v>
      </c>
      <c r="J46" s="73">
        <v>10</v>
      </c>
      <c r="K46" s="73">
        <v>8</v>
      </c>
      <c r="L46" s="73">
        <v>10</v>
      </c>
      <c r="M46" s="73">
        <v>7</v>
      </c>
      <c r="N46" s="5">
        <v>4</v>
      </c>
      <c r="O46" s="266">
        <v>8</v>
      </c>
      <c r="P46" s="266">
        <v>5</v>
      </c>
      <c r="Q46" s="318">
        <v>2</v>
      </c>
      <c r="R46" s="318">
        <v>2</v>
      </c>
      <c r="S46" s="352">
        <v>0</v>
      </c>
      <c r="T46" s="318">
        <v>1</v>
      </c>
      <c r="U46" s="318">
        <v>0</v>
      </c>
      <c r="V46" s="276">
        <v>0</v>
      </c>
      <c r="W46" s="74">
        <v>1</v>
      </c>
      <c r="X46" s="5">
        <v>0</v>
      </c>
      <c r="Y46" s="5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5">
        <v>0</v>
      </c>
      <c r="AF46" s="229" t="str">
        <f t="shared" si="11"/>
        <v xml:space="preserve"> </v>
      </c>
      <c r="AG46" s="230" t="str">
        <f t="shared" si="12"/>
        <v xml:space="preserve"> </v>
      </c>
      <c r="AH46" s="231" t="str">
        <f t="shared" si="13"/>
        <v xml:space="preserve"> </v>
      </c>
      <c r="AI46" s="125" t="str">
        <f t="shared" si="14"/>
        <v xml:space="preserve">  </v>
      </c>
      <c r="AJ46" s="370">
        <f>RANK(AE46,($AE$9:$AE$13,$AE$15:$AE$16,$AE$19:$AE$37,$AE$41:$AE$52,$AE$55:$AE$63,$AE$66:$AE$71),0)</f>
        <v>48</v>
      </c>
      <c r="AK46" s="9"/>
    </row>
    <row r="47" spans="1:169" ht="12" x14ac:dyDescent="0.2">
      <c r="A47" s="415" t="s">
        <v>14</v>
      </c>
      <c r="B47" s="73">
        <v>14</v>
      </c>
      <c r="C47" s="73">
        <v>31</v>
      </c>
      <c r="D47" s="73">
        <v>26</v>
      </c>
      <c r="E47" s="73">
        <v>22</v>
      </c>
      <c r="F47" s="73">
        <v>22</v>
      </c>
      <c r="G47" s="73">
        <v>22</v>
      </c>
      <c r="H47" s="5">
        <v>17</v>
      </c>
      <c r="I47" s="5">
        <v>22</v>
      </c>
      <c r="J47" s="73">
        <v>28</v>
      </c>
      <c r="K47" s="73">
        <v>13</v>
      </c>
      <c r="L47" s="73">
        <v>32</v>
      </c>
      <c r="M47" s="73">
        <v>20</v>
      </c>
      <c r="N47" s="5">
        <v>20</v>
      </c>
      <c r="O47" s="266">
        <v>34</v>
      </c>
      <c r="P47" s="266">
        <v>35</v>
      </c>
      <c r="Q47" s="318">
        <v>37</v>
      </c>
      <c r="R47" s="318">
        <f>28+1</f>
        <v>29</v>
      </c>
      <c r="S47" s="352">
        <f>31+1</f>
        <v>32</v>
      </c>
      <c r="T47" s="318">
        <v>30</v>
      </c>
      <c r="U47" s="318">
        <v>28</v>
      </c>
      <c r="V47" s="276">
        <v>38</v>
      </c>
      <c r="W47" s="74">
        <v>23</v>
      </c>
      <c r="X47" s="5">
        <v>35</v>
      </c>
      <c r="Y47" s="5">
        <v>31</v>
      </c>
      <c r="Z47" s="74">
        <v>30</v>
      </c>
      <c r="AA47" s="74">
        <v>25</v>
      </c>
      <c r="AB47" s="74">
        <v>23</v>
      </c>
      <c r="AC47" s="74">
        <v>15</v>
      </c>
      <c r="AD47" s="74">
        <v>15</v>
      </c>
      <c r="AE47" s="75">
        <v>15</v>
      </c>
      <c r="AF47" s="229" t="str">
        <f t="shared" si="11"/>
        <v xml:space="preserve"> </v>
      </c>
      <c r="AG47" s="230" t="str">
        <f t="shared" si="12"/>
        <v xml:space="preserve"> </v>
      </c>
      <c r="AH47" s="231" t="str">
        <f t="shared" si="13"/>
        <v xml:space="preserve"> </v>
      </c>
      <c r="AI47" s="125">
        <f t="shared" si="14"/>
        <v>15</v>
      </c>
      <c r="AJ47" s="370">
        <f>RANK(AE47,($AE$9:$AE$13,$AE$15:$AE$16,$AE$19:$AE$37,$AE$41:$AE$52,$AE$55:$AE$63,$AE$66:$AE$71),0)</f>
        <v>25</v>
      </c>
      <c r="AK47" s="9"/>
    </row>
    <row r="48" spans="1:169" ht="12" x14ac:dyDescent="0.2">
      <c r="A48" s="415" t="s">
        <v>149</v>
      </c>
      <c r="B48" s="73"/>
      <c r="C48" s="73"/>
      <c r="D48" s="73"/>
      <c r="E48" s="73"/>
      <c r="F48" s="73"/>
      <c r="G48" s="73"/>
      <c r="H48" s="5"/>
      <c r="I48" s="5"/>
      <c r="J48" s="73"/>
      <c r="K48" s="73"/>
      <c r="L48" s="73"/>
      <c r="M48" s="73"/>
      <c r="N48" s="5"/>
      <c r="O48" s="266"/>
      <c r="P48" s="266"/>
      <c r="Q48" s="318"/>
      <c r="R48" s="318">
        <v>0</v>
      </c>
      <c r="S48" s="352"/>
      <c r="T48" s="318">
        <v>0</v>
      </c>
      <c r="U48" s="318">
        <v>0</v>
      </c>
      <c r="V48" s="276"/>
      <c r="W48" s="74">
        <v>0</v>
      </c>
      <c r="X48" s="5">
        <v>0</v>
      </c>
      <c r="Y48" s="5">
        <v>0</v>
      </c>
      <c r="Z48" s="74">
        <v>0</v>
      </c>
      <c r="AA48" s="74">
        <v>0</v>
      </c>
      <c r="AB48" s="74">
        <v>1</v>
      </c>
      <c r="AC48" s="74">
        <v>1</v>
      </c>
      <c r="AD48" s="74">
        <v>8</v>
      </c>
      <c r="AE48" s="75">
        <v>6</v>
      </c>
      <c r="AF48" s="229" t="str">
        <f t="shared" si="11"/>
        <v xml:space="preserve"> </v>
      </c>
      <c r="AG48" s="230" t="str">
        <f t="shared" si="12"/>
        <v xml:space="preserve"> </v>
      </c>
      <c r="AH48" s="231" t="str">
        <f t="shared" si="13"/>
        <v xml:space="preserve"> </v>
      </c>
      <c r="AI48" s="125">
        <f t="shared" si="14"/>
        <v>5</v>
      </c>
      <c r="AJ48" s="370">
        <f>RANK(AE48,($AE$9:$AE$13,$AE$15:$AE$16,$AE$19:$AE$37,$AE$41:$AE$52,$AE$55:$AE$63,$AE$66:$AE$71),0)</f>
        <v>40</v>
      </c>
      <c r="AK48" s="9"/>
    </row>
    <row r="49" spans="1:169" ht="12" x14ac:dyDescent="0.2">
      <c r="A49" s="417" t="s">
        <v>19</v>
      </c>
      <c r="B49" s="73">
        <v>21</v>
      </c>
      <c r="C49" s="73">
        <v>21</v>
      </c>
      <c r="D49" s="73">
        <v>24</v>
      </c>
      <c r="E49" s="73">
        <v>22</v>
      </c>
      <c r="F49" s="73">
        <v>21</v>
      </c>
      <c r="G49" s="73">
        <v>16</v>
      </c>
      <c r="H49" s="5">
        <v>27</v>
      </c>
      <c r="I49" s="5">
        <v>12</v>
      </c>
      <c r="J49" s="73">
        <v>22</v>
      </c>
      <c r="K49" s="73">
        <v>24</v>
      </c>
      <c r="L49" s="73">
        <v>22</v>
      </c>
      <c r="M49" s="73">
        <v>22</v>
      </c>
      <c r="N49" s="5">
        <v>24</v>
      </c>
      <c r="O49" s="266">
        <v>28</v>
      </c>
      <c r="P49" s="266">
        <v>14</v>
      </c>
      <c r="Q49" s="318">
        <v>19</v>
      </c>
      <c r="R49" s="318">
        <f>23+4</f>
        <v>27</v>
      </c>
      <c r="S49" s="352">
        <f>24+2</f>
        <v>26</v>
      </c>
      <c r="T49" s="318">
        <v>26</v>
      </c>
      <c r="U49" s="318">
        <f>30+1</f>
        <v>31</v>
      </c>
      <c r="V49" s="276">
        <v>33</v>
      </c>
      <c r="W49" s="74">
        <f>32+1</f>
        <v>33</v>
      </c>
      <c r="X49" s="5">
        <v>31</v>
      </c>
      <c r="Y49" s="5">
        <v>26</v>
      </c>
      <c r="Z49" s="74">
        <v>27</v>
      </c>
      <c r="AA49" s="74">
        <v>21</v>
      </c>
      <c r="AB49" s="74">
        <v>36</v>
      </c>
      <c r="AC49" s="74">
        <v>21</v>
      </c>
      <c r="AD49" s="74">
        <v>21</v>
      </c>
      <c r="AE49" s="75">
        <v>14</v>
      </c>
      <c r="AF49" s="229" t="str">
        <f t="shared" si="11"/>
        <v xml:space="preserve"> </v>
      </c>
      <c r="AG49" s="230" t="str">
        <f t="shared" si="12"/>
        <v xml:space="preserve"> </v>
      </c>
      <c r="AH49" s="231" t="str">
        <f t="shared" si="13"/>
        <v xml:space="preserve"> </v>
      </c>
      <c r="AI49" s="125">
        <f t="shared" si="14"/>
        <v>18.666666666666668</v>
      </c>
      <c r="AJ49" s="370">
        <f>RANK(AE49,($AE$9:$AE$13,$AE$15:$AE$16,$AE$19:$AE$37,$AE$41:$AE$52,$AE$55:$AE$63,$AE$66:$AE$71),0)</f>
        <v>27</v>
      </c>
      <c r="AK49" s="9"/>
    </row>
    <row r="50" spans="1:169" ht="12" x14ac:dyDescent="0.2">
      <c r="A50" s="417" t="s">
        <v>23</v>
      </c>
      <c r="B50" s="73">
        <v>1</v>
      </c>
      <c r="C50" s="73">
        <v>5</v>
      </c>
      <c r="D50" s="73">
        <v>8</v>
      </c>
      <c r="E50" s="73">
        <v>5</v>
      </c>
      <c r="F50" s="73">
        <v>4</v>
      </c>
      <c r="G50" s="73">
        <v>9</v>
      </c>
      <c r="H50" s="5">
        <v>5</v>
      </c>
      <c r="I50" s="5">
        <v>8</v>
      </c>
      <c r="J50" s="73">
        <v>13</v>
      </c>
      <c r="K50" s="73">
        <v>8</v>
      </c>
      <c r="L50" s="73">
        <v>4</v>
      </c>
      <c r="M50" s="73">
        <v>12</v>
      </c>
      <c r="N50" s="5">
        <v>8</v>
      </c>
      <c r="O50" s="266">
        <v>13</v>
      </c>
      <c r="P50" s="266">
        <v>6</v>
      </c>
      <c r="Q50" s="318">
        <v>8</v>
      </c>
      <c r="R50" s="318">
        <v>7</v>
      </c>
      <c r="S50" s="352">
        <v>5</v>
      </c>
      <c r="T50" s="318">
        <v>11</v>
      </c>
      <c r="U50" s="318">
        <v>9</v>
      </c>
      <c r="V50" s="276">
        <v>12</v>
      </c>
      <c r="W50" s="74">
        <v>21</v>
      </c>
      <c r="X50" s="5">
        <v>18</v>
      </c>
      <c r="Y50" s="5">
        <v>30</v>
      </c>
      <c r="Z50" s="74">
        <v>12</v>
      </c>
      <c r="AA50" s="74">
        <v>20</v>
      </c>
      <c r="AB50" s="74">
        <v>14</v>
      </c>
      <c r="AC50" s="74">
        <v>9</v>
      </c>
      <c r="AD50" s="74">
        <v>8</v>
      </c>
      <c r="AE50" s="75">
        <v>5</v>
      </c>
      <c r="AF50" s="229" t="str">
        <f t="shared" si="11"/>
        <v xml:space="preserve"> </v>
      </c>
      <c r="AG50" s="230" t="str">
        <f t="shared" si="12"/>
        <v xml:space="preserve"> </v>
      </c>
      <c r="AH50" s="231" t="str">
        <f t="shared" si="13"/>
        <v xml:space="preserve"> </v>
      </c>
      <c r="AI50" s="125">
        <f t="shared" si="14"/>
        <v>7.333333333333333</v>
      </c>
      <c r="AJ50" s="370">
        <f>RANK(AE50,($AE$9:$AE$13,$AE$15:$AE$16,$AE$19:$AE$37,$AE$41:$AE$52,$AE$55:$AE$63,$AE$66:$AE$71),0)</f>
        <v>41</v>
      </c>
      <c r="AK50" s="9"/>
    </row>
    <row r="51" spans="1:169" ht="13.5" hidden="1" x14ac:dyDescent="0.2">
      <c r="A51" s="417" t="s">
        <v>125</v>
      </c>
      <c r="B51" s="73">
        <v>8</v>
      </c>
      <c r="C51" s="73">
        <v>2</v>
      </c>
      <c r="D51" s="73"/>
      <c r="E51" s="73">
        <v>2</v>
      </c>
      <c r="F51" s="73">
        <v>0</v>
      </c>
      <c r="G51" s="73">
        <v>0</v>
      </c>
      <c r="H51" s="5">
        <v>0</v>
      </c>
      <c r="I51" s="5">
        <v>0</v>
      </c>
      <c r="J51" s="73">
        <v>0</v>
      </c>
      <c r="K51" s="73">
        <v>0</v>
      </c>
      <c r="L51" s="73">
        <v>0</v>
      </c>
      <c r="M51" s="73">
        <v>0</v>
      </c>
      <c r="N51" s="5">
        <v>0</v>
      </c>
      <c r="O51" s="266"/>
      <c r="P51" s="266"/>
      <c r="Q51" s="318"/>
      <c r="R51" s="318"/>
      <c r="S51" s="352"/>
      <c r="T51" s="318"/>
      <c r="U51" s="318"/>
      <c r="V51" s="276"/>
      <c r="W51" s="74"/>
      <c r="X51" s="5"/>
      <c r="Y51" s="5"/>
      <c r="Z51" s="74"/>
      <c r="AA51" s="74"/>
      <c r="AB51" s="74"/>
      <c r="AC51" s="74"/>
      <c r="AD51" s="74"/>
      <c r="AE51" s="75"/>
      <c r="AF51" s="229" t="str">
        <f t="shared" si="11"/>
        <v xml:space="preserve"> </v>
      </c>
      <c r="AG51" s="230" t="str">
        <f t="shared" si="12"/>
        <v xml:space="preserve"> </v>
      </c>
      <c r="AH51" s="231" t="str">
        <f t="shared" si="13"/>
        <v xml:space="preserve"> </v>
      </c>
      <c r="AI51" s="125" t="str">
        <f t="shared" si="14"/>
        <v xml:space="preserve">  </v>
      </c>
      <c r="AJ51" s="370">
        <f>RANK(AE51,($AE$9:$AE$13,$AE$15:$AE$16,$AE$19:$AE$37,$AE$41:$AE$52,$AE$55:$AE$63,$AE$66:$AE$71),0)</f>
        <v>48</v>
      </c>
      <c r="AK51" s="9"/>
    </row>
    <row r="52" spans="1:169" ht="15" x14ac:dyDescent="0.25">
      <c r="A52" s="418" t="s">
        <v>179</v>
      </c>
      <c r="B52" s="110"/>
      <c r="C52" s="110"/>
      <c r="D52" s="110"/>
      <c r="E52" s="110"/>
      <c r="F52" s="110"/>
      <c r="G52" s="110"/>
      <c r="H52" s="94"/>
      <c r="I52" s="94"/>
      <c r="J52" s="110"/>
      <c r="K52" s="110"/>
      <c r="L52" s="110"/>
      <c r="M52" s="110"/>
      <c r="N52" s="94"/>
      <c r="O52" s="274"/>
      <c r="P52" s="274">
        <v>0</v>
      </c>
      <c r="Q52" s="327"/>
      <c r="R52" s="327">
        <v>0</v>
      </c>
      <c r="S52" s="357"/>
      <c r="T52" s="327">
        <v>0</v>
      </c>
      <c r="U52" s="327">
        <v>0</v>
      </c>
      <c r="V52" s="282">
        <v>0</v>
      </c>
      <c r="W52" s="83">
        <v>0</v>
      </c>
      <c r="X52" s="94">
        <v>0</v>
      </c>
      <c r="Y52" s="94">
        <v>0</v>
      </c>
      <c r="Z52" s="83">
        <v>1</v>
      </c>
      <c r="AA52" s="83">
        <v>6</v>
      </c>
      <c r="AB52" s="83">
        <v>1</v>
      </c>
      <c r="AC52" s="83">
        <v>6</v>
      </c>
      <c r="AD52" s="83">
        <v>5</v>
      </c>
      <c r="AE52" s="82">
        <v>2</v>
      </c>
      <c r="AF52" s="557" t="str">
        <f t="shared" si="11"/>
        <v xml:space="preserve"> </v>
      </c>
      <c r="AG52" s="558" t="str">
        <f t="shared" si="12"/>
        <v xml:space="preserve"> </v>
      </c>
      <c r="AH52" s="559" t="str">
        <f t="shared" si="13"/>
        <v xml:space="preserve"> </v>
      </c>
      <c r="AI52" s="553">
        <f t="shared" si="14"/>
        <v>4.333333333333333</v>
      </c>
      <c r="AJ52" s="362">
        <f>RANK(AE52,($AE$9:$AE$13,$AE$15:$AE$16,$AE$19:$AE$37,$AE$41:$AE$52,$AE$55:$AE$63,$AE$66:$AE$71),0)</f>
        <v>44</v>
      </c>
      <c r="AK52" s="587"/>
    </row>
    <row r="53" spans="1:169" s="17" customFormat="1" ht="12.75" thickBot="1" x14ac:dyDescent="0.25">
      <c r="A53" s="419" t="s">
        <v>77</v>
      </c>
      <c r="B53" s="111">
        <f t="shared" ref="B53" si="15">SUM(B40:B51)</f>
        <v>139</v>
      </c>
      <c r="C53" s="111">
        <f t="shared" ref="C53:O53" si="16">SUM(C41:C51)</f>
        <v>153</v>
      </c>
      <c r="D53" s="111">
        <f t="shared" si="16"/>
        <v>183</v>
      </c>
      <c r="E53" s="111">
        <f t="shared" si="16"/>
        <v>214</v>
      </c>
      <c r="F53" s="111">
        <f t="shared" si="16"/>
        <v>179</v>
      </c>
      <c r="G53" s="111">
        <f t="shared" si="16"/>
        <v>151</v>
      </c>
      <c r="H53" s="111">
        <f t="shared" si="16"/>
        <v>168</v>
      </c>
      <c r="I53" s="111">
        <f t="shared" si="16"/>
        <v>167</v>
      </c>
      <c r="J53" s="111">
        <f t="shared" si="16"/>
        <v>193</v>
      </c>
      <c r="K53" s="111">
        <f t="shared" si="16"/>
        <v>146</v>
      </c>
      <c r="L53" s="111">
        <f t="shared" si="16"/>
        <v>177</v>
      </c>
      <c r="M53" s="111">
        <f t="shared" si="16"/>
        <v>169</v>
      </c>
      <c r="N53" s="111">
        <f t="shared" si="16"/>
        <v>166</v>
      </c>
      <c r="O53" s="275">
        <f t="shared" si="16"/>
        <v>192</v>
      </c>
      <c r="P53" s="294">
        <f t="shared" ref="P53:Q53" si="17">SUM(P41:P52)</f>
        <v>171</v>
      </c>
      <c r="Q53" s="328">
        <f t="shared" si="17"/>
        <v>180</v>
      </c>
      <c r="R53" s="328">
        <f>SUM(R41:R52)</f>
        <v>200</v>
      </c>
      <c r="S53" s="328">
        <f>SUM(S41:S52)</f>
        <v>189</v>
      </c>
      <c r="T53" s="328">
        <f>SUM(T41:T52)</f>
        <v>206</v>
      </c>
      <c r="U53" s="328">
        <f>SUM(U41:U52)</f>
        <v>213</v>
      </c>
      <c r="V53" s="182">
        <f t="shared" ref="V53:AE53" si="18">SUM(V41:V52)</f>
        <v>262</v>
      </c>
      <c r="W53" s="111">
        <f>SUM(W41:W52)</f>
        <v>248</v>
      </c>
      <c r="X53" s="111">
        <f t="shared" si="18"/>
        <v>245</v>
      </c>
      <c r="Y53" s="111">
        <f t="shared" si="18"/>
        <v>256</v>
      </c>
      <c r="Z53" s="111">
        <f t="shared" si="18"/>
        <v>239</v>
      </c>
      <c r="AA53" s="111">
        <f t="shared" si="18"/>
        <v>254</v>
      </c>
      <c r="AB53" s="111">
        <f t="shared" si="18"/>
        <v>216</v>
      </c>
      <c r="AC53" s="111">
        <f t="shared" si="18"/>
        <v>202</v>
      </c>
      <c r="AD53" s="111">
        <f t="shared" si="18"/>
        <v>175</v>
      </c>
      <c r="AE53" s="111">
        <f t="shared" si="18"/>
        <v>183</v>
      </c>
      <c r="AF53" s="200">
        <f t="shared" si="11"/>
        <v>4.5714285714285714E-2</v>
      </c>
      <c r="AG53" s="112">
        <f t="shared" si="12"/>
        <v>-0.23430962343096234</v>
      </c>
      <c r="AH53" s="113">
        <f t="shared" si="13"/>
        <v>-0.14084507042253522</v>
      </c>
      <c r="AI53" s="201">
        <f t="shared" si="14"/>
        <v>186.66666666666666</v>
      </c>
      <c r="AJ53" s="370"/>
      <c r="AK53" s="91"/>
      <c r="AL53" s="91"/>
      <c r="AM53" s="91"/>
      <c r="AN53" s="91"/>
      <c r="AO53" s="91"/>
      <c r="AP53" s="91"/>
      <c r="AQ53" s="91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</row>
    <row r="54" spans="1:169" s="17" customFormat="1" ht="12.75" thickTop="1" x14ac:dyDescent="0.2">
      <c r="A54" s="420" t="s">
        <v>78</v>
      </c>
      <c r="B54" s="25"/>
      <c r="C54" s="26"/>
      <c r="D54" s="26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7"/>
      <c r="P54" s="27"/>
      <c r="Q54" s="27"/>
      <c r="R54" s="27"/>
      <c r="S54" s="27"/>
      <c r="T54" s="27"/>
      <c r="U54" s="27"/>
      <c r="V54" s="27"/>
      <c r="W54" s="27"/>
      <c r="X54" s="28"/>
      <c r="Y54" s="28"/>
      <c r="Z54" s="28"/>
      <c r="AA54" s="28"/>
      <c r="AB54" s="28"/>
      <c r="AC54" s="28"/>
      <c r="AD54" s="28"/>
      <c r="AE54" s="28"/>
      <c r="AF54" s="28"/>
      <c r="AG54" s="29"/>
      <c r="AH54" s="29"/>
      <c r="AI54" s="217"/>
      <c r="AJ54" s="370"/>
      <c r="AK54" s="91"/>
      <c r="AL54" s="91"/>
      <c r="AM54" s="91"/>
      <c r="AN54" s="91"/>
      <c r="AO54" s="91"/>
      <c r="AP54" s="91"/>
      <c r="AQ54" s="91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</row>
    <row r="55" spans="1:169" ht="12" x14ac:dyDescent="0.2">
      <c r="A55" s="555" t="s">
        <v>0</v>
      </c>
      <c r="B55" s="100">
        <v>62</v>
      </c>
      <c r="C55" s="100">
        <v>49</v>
      </c>
      <c r="D55" s="100">
        <v>55</v>
      </c>
      <c r="E55" s="100">
        <v>60</v>
      </c>
      <c r="F55" s="100">
        <v>42</v>
      </c>
      <c r="G55" s="100">
        <v>26</v>
      </c>
      <c r="H55" s="93">
        <v>46</v>
      </c>
      <c r="I55" s="93">
        <v>30</v>
      </c>
      <c r="J55" s="100">
        <v>25</v>
      </c>
      <c r="K55" s="100">
        <v>32</v>
      </c>
      <c r="L55" s="100">
        <v>34</v>
      </c>
      <c r="M55" s="100">
        <v>40</v>
      </c>
      <c r="N55" s="93">
        <v>38</v>
      </c>
      <c r="O55" s="265">
        <v>30</v>
      </c>
      <c r="P55" s="265">
        <v>61</v>
      </c>
      <c r="Q55" s="324">
        <v>60</v>
      </c>
      <c r="R55" s="324">
        <v>53</v>
      </c>
      <c r="S55" s="351">
        <f>46+1</f>
        <v>47</v>
      </c>
      <c r="T55" s="324">
        <v>44</v>
      </c>
      <c r="U55" s="324">
        <f>56+1</f>
        <v>57</v>
      </c>
      <c r="V55" s="280">
        <v>53</v>
      </c>
      <c r="W55" s="92">
        <f>66+3</f>
        <v>69</v>
      </c>
      <c r="X55" s="93">
        <v>81</v>
      </c>
      <c r="Y55" s="93">
        <v>60</v>
      </c>
      <c r="Z55" s="92">
        <v>40</v>
      </c>
      <c r="AA55" s="92">
        <v>63</v>
      </c>
      <c r="AB55" s="92">
        <v>46</v>
      </c>
      <c r="AC55" s="92">
        <v>37</v>
      </c>
      <c r="AD55" s="92">
        <v>41</v>
      </c>
      <c r="AE55" s="101">
        <v>35</v>
      </c>
      <c r="AF55" s="345">
        <f t="shared" ref="AF55:AF64" si="19">IF(AE55=0," ",IF(AI55&gt;20,(AE55-AD55)/AD55," "))</f>
        <v>-0.14634146341463414</v>
      </c>
      <c r="AG55" s="346">
        <f t="shared" ref="AG55:AG64" si="20">IF(AE55=0," ",IF(AI55&gt;20,(AE55-Z55)/Z55," "))</f>
        <v>-0.125</v>
      </c>
      <c r="AH55" s="347">
        <f t="shared" ref="AH55:AH64" si="21">IF(AE55=0," ",(IF(AI55&gt;20,(AE55-U55)/U55," ")))</f>
        <v>-0.38596491228070173</v>
      </c>
      <c r="AI55" s="247">
        <f t="shared" ref="AI55:AI64" si="22">IF(AC55&gt;0,AVERAGE(AC55:AE55),"  ")</f>
        <v>37.666666666666664</v>
      </c>
      <c r="AJ55" s="370">
        <f>RANK(AE55,($AE$9:$AE$13,$AE$15:$AE$16,$AE$19:$AE$37,$AE$41:$AE$52,$AE$55:$AE$63,$AE$66:$AE$71),0)</f>
        <v>14</v>
      </c>
      <c r="AK55" s="9"/>
    </row>
    <row r="56" spans="1:169" ht="12" x14ac:dyDescent="0.2">
      <c r="A56" s="408" t="s">
        <v>3</v>
      </c>
      <c r="B56" s="73">
        <v>117</v>
      </c>
      <c r="C56" s="73">
        <v>114</v>
      </c>
      <c r="D56" s="73">
        <v>129</v>
      </c>
      <c r="E56" s="73">
        <v>134</v>
      </c>
      <c r="F56" s="73">
        <v>153</v>
      </c>
      <c r="G56" s="73">
        <v>141</v>
      </c>
      <c r="H56" s="5">
        <v>181</v>
      </c>
      <c r="I56" s="5">
        <v>171</v>
      </c>
      <c r="J56" s="73">
        <v>168</v>
      </c>
      <c r="K56" s="73">
        <v>100</v>
      </c>
      <c r="L56" s="73">
        <v>29</v>
      </c>
      <c r="M56" s="73">
        <v>16</v>
      </c>
      <c r="N56" s="5">
        <v>10</v>
      </c>
      <c r="O56" s="266">
        <v>14</v>
      </c>
      <c r="P56" s="266">
        <v>26</v>
      </c>
      <c r="Q56" s="318">
        <v>26</v>
      </c>
      <c r="R56" s="318">
        <v>20</v>
      </c>
      <c r="S56" s="352">
        <f>23+1</f>
        <v>24</v>
      </c>
      <c r="T56" s="318">
        <v>18</v>
      </c>
      <c r="U56" s="318">
        <v>21</v>
      </c>
      <c r="V56" s="276">
        <v>10</v>
      </c>
      <c r="W56" s="74">
        <v>12</v>
      </c>
      <c r="X56" s="5">
        <v>1</v>
      </c>
      <c r="Y56" s="5">
        <v>0</v>
      </c>
      <c r="Z56" s="74">
        <v>0</v>
      </c>
      <c r="AA56" s="74">
        <v>0</v>
      </c>
      <c r="AB56" s="74">
        <v>0</v>
      </c>
      <c r="AC56" s="74">
        <v>0</v>
      </c>
      <c r="AD56" s="74">
        <v>0</v>
      </c>
      <c r="AE56" s="75">
        <v>0</v>
      </c>
      <c r="AF56" s="229" t="str">
        <f t="shared" si="19"/>
        <v xml:space="preserve"> </v>
      </c>
      <c r="AG56" s="230" t="str">
        <f t="shared" si="20"/>
        <v xml:space="preserve"> </v>
      </c>
      <c r="AH56" s="231" t="str">
        <f t="shared" si="21"/>
        <v xml:space="preserve"> </v>
      </c>
      <c r="AI56" s="125" t="str">
        <f t="shared" si="22"/>
        <v xml:space="preserve">  </v>
      </c>
      <c r="AJ56" s="370">
        <f>RANK(AE56,($AE$9:$AE$13,$AE$15:$AE$16,$AE$19:$AE$37,$AE$41:$AE$52,$AE$55:$AE$63,$AE$66:$AE$71),0)</f>
        <v>48</v>
      </c>
      <c r="AK56" s="9"/>
    </row>
    <row r="57" spans="1:169" ht="12" x14ac:dyDescent="0.2">
      <c r="A57" s="421" t="s">
        <v>153</v>
      </c>
      <c r="B57" s="73"/>
      <c r="C57" s="73"/>
      <c r="D57" s="73"/>
      <c r="E57" s="73"/>
      <c r="F57" s="73"/>
      <c r="G57" s="73"/>
      <c r="H57" s="5"/>
      <c r="I57" s="5"/>
      <c r="J57" s="73"/>
      <c r="K57" s="73"/>
      <c r="L57" s="73"/>
      <c r="M57" s="73"/>
      <c r="N57" s="5"/>
      <c r="O57" s="266"/>
      <c r="P57" s="266"/>
      <c r="Q57" s="318"/>
      <c r="R57" s="318">
        <v>0</v>
      </c>
      <c r="S57" s="352"/>
      <c r="T57" s="318">
        <v>0</v>
      </c>
      <c r="U57" s="318">
        <v>0</v>
      </c>
      <c r="V57" s="276">
        <v>2</v>
      </c>
      <c r="W57" s="74">
        <v>3</v>
      </c>
      <c r="X57" s="5">
        <v>8</v>
      </c>
      <c r="Y57" s="5">
        <v>10</v>
      </c>
      <c r="Z57" s="74">
        <v>13</v>
      </c>
      <c r="AA57" s="74">
        <v>8</v>
      </c>
      <c r="AB57" s="74">
        <v>5</v>
      </c>
      <c r="AC57" s="74">
        <v>5</v>
      </c>
      <c r="AD57" s="74">
        <v>4</v>
      </c>
      <c r="AE57" s="75">
        <v>7</v>
      </c>
      <c r="AF57" s="229" t="str">
        <f t="shared" si="19"/>
        <v xml:space="preserve"> </v>
      </c>
      <c r="AG57" s="230" t="str">
        <f t="shared" si="20"/>
        <v xml:space="preserve"> </v>
      </c>
      <c r="AH57" s="231" t="str">
        <f t="shared" si="21"/>
        <v xml:space="preserve"> </v>
      </c>
      <c r="AI57" s="125">
        <f t="shared" si="22"/>
        <v>5.333333333333333</v>
      </c>
      <c r="AJ57" s="370">
        <f>RANK(AE57,($AE$9:$AE$13,$AE$15:$AE$16,$AE$19:$AE$37,$AE$41:$AE$52,$AE$55:$AE$63,$AE$66:$AE$71),0)</f>
        <v>39</v>
      </c>
      <c r="AK57" s="9"/>
    </row>
    <row r="58" spans="1:169" ht="12" x14ac:dyDescent="0.2">
      <c r="A58" s="408" t="s">
        <v>7</v>
      </c>
      <c r="B58" s="73">
        <v>8</v>
      </c>
      <c r="C58" s="73">
        <v>14</v>
      </c>
      <c r="D58" s="73">
        <v>6</v>
      </c>
      <c r="E58" s="73">
        <v>14</v>
      </c>
      <c r="F58" s="73">
        <v>1</v>
      </c>
      <c r="G58" s="73">
        <v>6</v>
      </c>
      <c r="H58" s="5">
        <v>11</v>
      </c>
      <c r="I58" s="5">
        <v>2</v>
      </c>
      <c r="J58" s="73">
        <v>2</v>
      </c>
      <c r="K58" s="73">
        <v>3</v>
      </c>
      <c r="L58" s="73">
        <v>8</v>
      </c>
      <c r="M58" s="73">
        <v>8</v>
      </c>
      <c r="N58" s="5">
        <v>5</v>
      </c>
      <c r="O58" s="266">
        <v>10</v>
      </c>
      <c r="P58" s="266">
        <v>6</v>
      </c>
      <c r="Q58" s="318">
        <v>16</v>
      </c>
      <c r="R58" s="318">
        <f>10+2</f>
        <v>12</v>
      </c>
      <c r="S58" s="352">
        <v>17</v>
      </c>
      <c r="T58" s="318">
        <v>13</v>
      </c>
      <c r="U58" s="318">
        <v>15</v>
      </c>
      <c r="V58" s="276">
        <v>20</v>
      </c>
      <c r="W58" s="74">
        <f>11+3</f>
        <v>14</v>
      </c>
      <c r="X58" s="5">
        <v>18</v>
      </c>
      <c r="Y58" s="5">
        <v>26</v>
      </c>
      <c r="Z58" s="74">
        <v>10</v>
      </c>
      <c r="AA58" s="74">
        <v>22</v>
      </c>
      <c r="AB58" s="74">
        <v>18</v>
      </c>
      <c r="AC58" s="74">
        <v>8</v>
      </c>
      <c r="AD58" s="74">
        <v>14</v>
      </c>
      <c r="AE58" s="75">
        <v>8</v>
      </c>
      <c r="AF58" s="229" t="str">
        <f t="shared" si="19"/>
        <v xml:space="preserve"> </v>
      </c>
      <c r="AG58" s="230" t="str">
        <f t="shared" si="20"/>
        <v xml:space="preserve"> </v>
      </c>
      <c r="AH58" s="231" t="str">
        <f t="shared" si="21"/>
        <v xml:space="preserve"> </v>
      </c>
      <c r="AI58" s="125">
        <f t="shared" si="22"/>
        <v>10</v>
      </c>
      <c r="AJ58" s="370">
        <f>RANK(AE58,($AE$9:$AE$13,$AE$15:$AE$16,$AE$19:$AE$37,$AE$41:$AE$52,$AE$55:$AE$63,$AE$66:$AE$71),0)</f>
        <v>37</v>
      </c>
      <c r="AK58" s="9"/>
    </row>
    <row r="59" spans="1:169" ht="12" x14ac:dyDescent="0.2">
      <c r="A59" s="410" t="s">
        <v>12</v>
      </c>
      <c r="B59" s="77"/>
      <c r="C59" s="77"/>
      <c r="D59" s="77"/>
      <c r="E59" s="77"/>
      <c r="F59" s="77"/>
      <c r="G59" s="77"/>
      <c r="H59" s="7"/>
      <c r="I59" s="7"/>
      <c r="J59" s="77">
        <v>23</v>
      </c>
      <c r="K59" s="77">
        <v>28</v>
      </c>
      <c r="L59" s="77">
        <v>42</v>
      </c>
      <c r="M59" s="77">
        <v>59</v>
      </c>
      <c r="N59" s="7">
        <v>66</v>
      </c>
      <c r="O59" s="267">
        <v>61</v>
      </c>
      <c r="P59" s="267">
        <v>90</v>
      </c>
      <c r="Q59" s="319">
        <v>90</v>
      </c>
      <c r="R59" s="319">
        <f>48+7</f>
        <v>55</v>
      </c>
      <c r="S59" s="353">
        <f>58+5</f>
        <v>63</v>
      </c>
      <c r="T59" s="319">
        <v>43</v>
      </c>
      <c r="U59" s="319">
        <f>48+6</f>
        <v>54</v>
      </c>
      <c r="V59" s="277">
        <v>46</v>
      </c>
      <c r="W59" s="78">
        <f>49+3</f>
        <v>52</v>
      </c>
      <c r="X59" s="7">
        <v>75</v>
      </c>
      <c r="Y59" s="7">
        <v>56</v>
      </c>
      <c r="Z59" s="78">
        <v>66</v>
      </c>
      <c r="AA59" s="78">
        <v>56</v>
      </c>
      <c r="AB59" s="78">
        <v>64</v>
      </c>
      <c r="AC59" s="78">
        <v>55</v>
      </c>
      <c r="AD59" s="78">
        <v>44</v>
      </c>
      <c r="AE59" s="79">
        <v>48</v>
      </c>
      <c r="AF59" s="232">
        <f t="shared" si="19"/>
        <v>9.0909090909090912E-2</v>
      </c>
      <c r="AG59" s="233">
        <f t="shared" si="20"/>
        <v>-0.27272727272727271</v>
      </c>
      <c r="AH59" s="234">
        <f t="shared" si="21"/>
        <v>-0.1111111111111111</v>
      </c>
      <c r="AI59" s="246">
        <f t="shared" si="22"/>
        <v>49</v>
      </c>
      <c r="AJ59" s="370">
        <f>RANK(AE59,($AE$9:$AE$13,$AE$15:$AE$16,$AE$19:$AE$37,$AE$41:$AE$52,$AE$55:$AE$63,$AE$66:$AE$71),0)</f>
        <v>11</v>
      </c>
      <c r="AK59" s="9"/>
    </row>
    <row r="60" spans="1:169" ht="12" x14ac:dyDescent="0.2">
      <c r="A60" s="408" t="s">
        <v>63</v>
      </c>
      <c r="B60" s="73">
        <v>22</v>
      </c>
      <c r="C60" s="73">
        <v>16</v>
      </c>
      <c r="D60" s="73">
        <v>22</v>
      </c>
      <c r="E60" s="73">
        <v>38</v>
      </c>
      <c r="F60" s="73">
        <v>36</v>
      </c>
      <c r="G60" s="73">
        <v>33</v>
      </c>
      <c r="H60" s="5">
        <v>56</v>
      </c>
      <c r="I60" s="5">
        <v>69</v>
      </c>
      <c r="J60" s="73">
        <v>65</v>
      </c>
      <c r="K60" s="73">
        <v>36</v>
      </c>
      <c r="L60" s="73">
        <v>38</v>
      </c>
      <c r="M60" s="73">
        <v>25</v>
      </c>
      <c r="N60" s="5">
        <v>25</v>
      </c>
      <c r="O60" s="266">
        <v>29</v>
      </c>
      <c r="P60" s="266">
        <v>21</v>
      </c>
      <c r="Q60" s="318">
        <v>27</v>
      </c>
      <c r="R60" s="318">
        <f>32+3</f>
        <v>35</v>
      </c>
      <c r="S60" s="352">
        <f>49+5</f>
        <v>54</v>
      </c>
      <c r="T60" s="318">
        <v>64</v>
      </c>
      <c r="U60" s="318">
        <f>56+8</f>
        <v>64</v>
      </c>
      <c r="V60" s="276">
        <v>67</v>
      </c>
      <c r="W60" s="74">
        <f>38+16</f>
        <v>54</v>
      </c>
      <c r="X60" s="5">
        <v>59</v>
      </c>
      <c r="Y60" s="5">
        <v>56</v>
      </c>
      <c r="Z60" s="74">
        <v>68</v>
      </c>
      <c r="AA60" s="74">
        <v>51</v>
      </c>
      <c r="AB60" s="74">
        <v>66</v>
      </c>
      <c r="AC60" s="74">
        <v>48</v>
      </c>
      <c r="AD60" s="74">
        <v>55</v>
      </c>
      <c r="AE60" s="75">
        <v>57</v>
      </c>
      <c r="AF60" s="229">
        <f t="shared" si="19"/>
        <v>3.6363636363636362E-2</v>
      </c>
      <c r="AG60" s="230">
        <f t="shared" si="20"/>
        <v>-0.16176470588235295</v>
      </c>
      <c r="AH60" s="231">
        <f t="shared" si="21"/>
        <v>-0.109375</v>
      </c>
      <c r="AI60" s="125">
        <f t="shared" si="22"/>
        <v>53.333333333333336</v>
      </c>
      <c r="AJ60" s="370">
        <f>RANK(AE60,($AE$9:$AE$13,$AE$15:$AE$16,$AE$19:$AE$37,$AE$41:$AE$52,$AE$55:$AE$63,$AE$66:$AE$71),0)</f>
        <v>10</v>
      </c>
      <c r="AK60" s="9"/>
    </row>
    <row r="61" spans="1:169" ht="12" x14ac:dyDescent="0.2">
      <c r="A61" s="412" t="s">
        <v>152</v>
      </c>
      <c r="B61" s="73"/>
      <c r="C61" s="73"/>
      <c r="D61" s="73"/>
      <c r="E61" s="73"/>
      <c r="F61" s="73"/>
      <c r="G61" s="73"/>
      <c r="H61" s="5"/>
      <c r="I61" s="5"/>
      <c r="J61" s="73"/>
      <c r="K61" s="73"/>
      <c r="L61" s="73"/>
      <c r="M61" s="73"/>
      <c r="N61" s="5"/>
      <c r="O61" s="266"/>
      <c r="P61" s="266"/>
      <c r="Q61" s="318"/>
      <c r="R61" s="318">
        <v>0</v>
      </c>
      <c r="S61" s="352"/>
      <c r="T61" s="318">
        <v>0</v>
      </c>
      <c r="U61" s="318">
        <v>0</v>
      </c>
      <c r="V61" s="276"/>
      <c r="W61" s="74">
        <v>2</v>
      </c>
      <c r="X61" s="5">
        <v>5</v>
      </c>
      <c r="Y61" s="5">
        <v>1</v>
      </c>
      <c r="Z61" s="74">
        <v>3</v>
      </c>
      <c r="AA61" s="74">
        <v>3</v>
      </c>
      <c r="AB61" s="74">
        <v>2</v>
      </c>
      <c r="AC61" s="74">
        <v>2</v>
      </c>
      <c r="AD61" s="74">
        <v>9</v>
      </c>
      <c r="AE61" s="75">
        <v>11</v>
      </c>
      <c r="AF61" s="229" t="str">
        <f t="shared" si="19"/>
        <v xml:space="preserve"> </v>
      </c>
      <c r="AG61" s="230" t="str">
        <f t="shared" si="20"/>
        <v xml:space="preserve"> </v>
      </c>
      <c r="AH61" s="231" t="str">
        <f t="shared" si="21"/>
        <v xml:space="preserve"> </v>
      </c>
      <c r="AI61" s="125">
        <f t="shared" si="22"/>
        <v>7.333333333333333</v>
      </c>
      <c r="AJ61" s="370">
        <f>RANK(AE61,($AE$9:$AE$13,$AE$15:$AE$16,$AE$19:$AE$37,$AE$41:$AE$52,$AE$55:$AE$63,$AE$66:$AE$71),0)</f>
        <v>31</v>
      </c>
      <c r="AK61" s="9"/>
    </row>
    <row r="62" spans="1:169" ht="15" x14ac:dyDescent="0.25">
      <c r="A62" s="408" t="s">
        <v>17</v>
      </c>
      <c r="B62" s="73"/>
      <c r="C62" s="73"/>
      <c r="D62" s="73"/>
      <c r="E62" s="73"/>
      <c r="F62" s="73"/>
      <c r="G62" s="73"/>
      <c r="H62" s="5"/>
      <c r="I62" s="5"/>
      <c r="J62" s="73">
        <v>1</v>
      </c>
      <c r="K62" s="73">
        <v>20</v>
      </c>
      <c r="L62" s="73">
        <v>54</v>
      </c>
      <c r="M62" s="73">
        <v>91</v>
      </c>
      <c r="N62" s="5">
        <v>95</v>
      </c>
      <c r="O62" s="266">
        <v>91</v>
      </c>
      <c r="P62" s="266">
        <v>102</v>
      </c>
      <c r="Q62" s="318">
        <v>103</v>
      </c>
      <c r="R62" s="318">
        <f>101+4</f>
        <v>105</v>
      </c>
      <c r="S62" s="352">
        <f>95+3</f>
        <v>98</v>
      </c>
      <c r="T62" s="318">
        <v>89</v>
      </c>
      <c r="U62" s="318">
        <f>95+4</f>
        <v>99</v>
      </c>
      <c r="V62" s="276">
        <v>108</v>
      </c>
      <c r="W62" s="74">
        <v>109</v>
      </c>
      <c r="X62" s="5">
        <v>98</v>
      </c>
      <c r="Y62" s="5">
        <v>94</v>
      </c>
      <c r="Z62" s="74">
        <v>101</v>
      </c>
      <c r="AA62" s="74">
        <v>96</v>
      </c>
      <c r="AB62" s="74">
        <v>94</v>
      </c>
      <c r="AC62" s="74">
        <v>74</v>
      </c>
      <c r="AD62" s="74">
        <v>92</v>
      </c>
      <c r="AE62" s="75">
        <v>97</v>
      </c>
      <c r="AF62" s="229">
        <f t="shared" si="19"/>
        <v>5.434782608695652E-2</v>
      </c>
      <c r="AG62" s="230">
        <f t="shared" si="20"/>
        <v>-3.9603960396039604E-2</v>
      </c>
      <c r="AH62" s="231">
        <f t="shared" si="21"/>
        <v>-2.0202020202020204E-2</v>
      </c>
      <c r="AI62" s="125">
        <f t="shared" si="22"/>
        <v>87.666666666666671</v>
      </c>
      <c r="AJ62" s="371">
        <f>RANK(AE62,($AE$9:$AE$13,$AE$15:$AE$16,$AE$19:$AE$37,$AE$41:$AE$52,$AE$55:$AE$63,$AE$66:$AE$71),0)</f>
        <v>4</v>
      </c>
      <c r="AK62" s="9"/>
    </row>
    <row r="63" spans="1:169" ht="12" x14ac:dyDescent="0.2">
      <c r="A63" s="583" t="s">
        <v>18</v>
      </c>
      <c r="B63" s="110"/>
      <c r="C63" s="110"/>
      <c r="D63" s="110"/>
      <c r="E63" s="110"/>
      <c r="F63" s="110"/>
      <c r="G63" s="110"/>
      <c r="H63" s="94"/>
      <c r="I63" s="94"/>
      <c r="J63" s="110">
        <v>11</v>
      </c>
      <c r="K63" s="110">
        <v>37</v>
      </c>
      <c r="L63" s="110">
        <v>61</v>
      </c>
      <c r="M63" s="110">
        <v>54</v>
      </c>
      <c r="N63" s="94">
        <v>68</v>
      </c>
      <c r="O63" s="274">
        <v>100</v>
      </c>
      <c r="P63" s="274">
        <v>93</v>
      </c>
      <c r="Q63" s="327">
        <v>72</v>
      </c>
      <c r="R63" s="327">
        <f>47+3</f>
        <v>50</v>
      </c>
      <c r="S63" s="357">
        <f>51+2</f>
        <v>53</v>
      </c>
      <c r="T63" s="327">
        <v>57</v>
      </c>
      <c r="U63" s="327">
        <f>45+3</f>
        <v>48</v>
      </c>
      <c r="V63" s="282">
        <v>70</v>
      </c>
      <c r="W63" s="83">
        <v>72</v>
      </c>
      <c r="X63" s="94">
        <v>78</v>
      </c>
      <c r="Y63" s="94">
        <v>81</v>
      </c>
      <c r="Z63" s="83">
        <v>79</v>
      </c>
      <c r="AA63" s="83">
        <v>85</v>
      </c>
      <c r="AB63" s="83">
        <v>107</v>
      </c>
      <c r="AC63" s="83">
        <v>67</v>
      </c>
      <c r="AD63" s="83">
        <v>86</v>
      </c>
      <c r="AE63" s="82">
        <v>60</v>
      </c>
      <c r="AF63" s="557">
        <f t="shared" si="19"/>
        <v>-0.30232558139534882</v>
      </c>
      <c r="AG63" s="558">
        <f t="shared" si="20"/>
        <v>-0.24050632911392406</v>
      </c>
      <c r="AH63" s="559">
        <f t="shared" si="21"/>
        <v>0.25</v>
      </c>
      <c r="AI63" s="553">
        <f t="shared" si="22"/>
        <v>71</v>
      </c>
      <c r="AJ63" s="370">
        <f>RANK(AE63,($AE$9:$AE$13,$AE$15:$AE$16,$AE$19:$AE$37,$AE$41:$AE$52,$AE$55:$AE$63,$AE$66:$AE$71),0)</f>
        <v>9</v>
      </c>
      <c r="AK63" s="9"/>
    </row>
    <row r="64" spans="1:169" s="17" customFormat="1" ht="12.75" thickBot="1" x14ac:dyDescent="0.25">
      <c r="A64" s="422" t="s">
        <v>79</v>
      </c>
      <c r="B64" s="208">
        <f t="shared" ref="B64:AE64" si="23">SUM(B55:B63)</f>
        <v>209</v>
      </c>
      <c r="C64" s="208">
        <f t="shared" si="23"/>
        <v>193</v>
      </c>
      <c r="D64" s="208">
        <f t="shared" si="23"/>
        <v>212</v>
      </c>
      <c r="E64" s="208">
        <f t="shared" si="23"/>
        <v>246</v>
      </c>
      <c r="F64" s="208">
        <f t="shared" si="23"/>
        <v>232</v>
      </c>
      <c r="G64" s="208">
        <f t="shared" si="23"/>
        <v>206</v>
      </c>
      <c r="H64" s="208">
        <f t="shared" si="23"/>
        <v>294</v>
      </c>
      <c r="I64" s="208">
        <f t="shared" si="23"/>
        <v>272</v>
      </c>
      <c r="J64" s="208">
        <f t="shared" si="23"/>
        <v>295</v>
      </c>
      <c r="K64" s="208">
        <f t="shared" si="23"/>
        <v>256</v>
      </c>
      <c r="L64" s="208">
        <f t="shared" si="23"/>
        <v>266</v>
      </c>
      <c r="M64" s="208">
        <f t="shared" si="23"/>
        <v>293</v>
      </c>
      <c r="N64" s="208">
        <f t="shared" si="23"/>
        <v>307</v>
      </c>
      <c r="O64" s="283">
        <f t="shared" si="23"/>
        <v>335</v>
      </c>
      <c r="P64" s="283">
        <f t="shared" si="23"/>
        <v>399</v>
      </c>
      <c r="Q64" s="329">
        <f t="shared" si="23"/>
        <v>394</v>
      </c>
      <c r="R64" s="329">
        <f>SUM(R55:R63)</f>
        <v>330</v>
      </c>
      <c r="S64" s="329">
        <f t="shared" si="23"/>
        <v>356</v>
      </c>
      <c r="T64" s="329">
        <f t="shared" si="23"/>
        <v>328</v>
      </c>
      <c r="U64" s="329">
        <f t="shared" si="23"/>
        <v>358</v>
      </c>
      <c r="V64" s="209">
        <f t="shared" si="23"/>
        <v>376</v>
      </c>
      <c r="W64" s="208">
        <f t="shared" si="23"/>
        <v>387</v>
      </c>
      <c r="X64" s="208">
        <f t="shared" si="23"/>
        <v>423</v>
      </c>
      <c r="Y64" s="208">
        <f t="shared" si="23"/>
        <v>384</v>
      </c>
      <c r="Z64" s="208">
        <f t="shared" si="23"/>
        <v>380</v>
      </c>
      <c r="AA64" s="208">
        <f t="shared" si="23"/>
        <v>384</v>
      </c>
      <c r="AB64" s="208">
        <f t="shared" si="23"/>
        <v>402</v>
      </c>
      <c r="AC64" s="208">
        <f t="shared" si="23"/>
        <v>296</v>
      </c>
      <c r="AD64" s="208">
        <f t="shared" si="23"/>
        <v>345</v>
      </c>
      <c r="AE64" s="208">
        <f t="shared" si="23"/>
        <v>323</v>
      </c>
      <c r="AF64" s="210">
        <f t="shared" si="19"/>
        <v>-6.3768115942028983E-2</v>
      </c>
      <c r="AG64" s="211">
        <f t="shared" si="20"/>
        <v>-0.15</v>
      </c>
      <c r="AH64" s="212">
        <f t="shared" si="21"/>
        <v>-9.7765363128491614E-2</v>
      </c>
      <c r="AI64" s="213">
        <f t="shared" si="22"/>
        <v>321.33333333333331</v>
      </c>
      <c r="AJ64" s="89"/>
      <c r="AK64" s="91"/>
      <c r="AL64" s="91"/>
      <c r="AM64" s="91"/>
      <c r="AN64" s="91"/>
      <c r="AO64" s="91"/>
      <c r="AP64" s="91"/>
      <c r="AQ64" s="91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</row>
    <row r="65" spans="1:178" ht="12.75" thickTop="1" x14ac:dyDescent="0.2">
      <c r="A65" s="423" t="s">
        <v>80</v>
      </c>
      <c r="B65" s="202"/>
      <c r="C65" s="203"/>
      <c r="D65" s="203"/>
      <c r="E65" s="202"/>
      <c r="F65" s="204"/>
      <c r="G65" s="204"/>
      <c r="H65" s="204"/>
      <c r="I65" s="202"/>
      <c r="J65" s="202"/>
      <c r="K65" s="202"/>
      <c r="L65" s="202"/>
      <c r="M65" s="202"/>
      <c r="N65" s="202"/>
      <c r="O65" s="205"/>
      <c r="P65" s="286"/>
      <c r="Q65" s="205"/>
      <c r="R65" s="205"/>
      <c r="S65" s="205"/>
      <c r="T65" s="205"/>
      <c r="U65" s="205"/>
      <c r="V65" s="205"/>
      <c r="W65" s="205"/>
      <c r="X65" s="206"/>
      <c r="Y65" s="206"/>
      <c r="Z65" s="206"/>
      <c r="AA65" s="206"/>
      <c r="AB65" s="206"/>
      <c r="AC65" s="206"/>
      <c r="AD65" s="206"/>
      <c r="AE65" s="206"/>
      <c r="AF65" s="206"/>
      <c r="AG65" s="207"/>
      <c r="AH65" s="207"/>
      <c r="AI65" s="218"/>
      <c r="AJ65" s="90"/>
      <c r="AK65" s="95"/>
      <c r="AL65" s="95"/>
      <c r="AM65" s="95"/>
      <c r="AN65" s="95"/>
      <c r="AO65" s="95"/>
      <c r="AP65" s="95"/>
      <c r="AQ65" s="95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</row>
    <row r="66" spans="1:178" ht="12" x14ac:dyDescent="0.2">
      <c r="A66" s="555" t="s">
        <v>8</v>
      </c>
      <c r="B66" s="100"/>
      <c r="C66" s="100">
        <v>0</v>
      </c>
      <c r="D66" s="100"/>
      <c r="E66" s="100">
        <v>0</v>
      </c>
      <c r="F66" s="100">
        <v>0</v>
      </c>
      <c r="G66" s="100">
        <v>0</v>
      </c>
      <c r="H66" s="93">
        <v>0</v>
      </c>
      <c r="I66" s="93">
        <v>0</v>
      </c>
      <c r="J66" s="100">
        <v>0</v>
      </c>
      <c r="K66" s="100">
        <v>0</v>
      </c>
      <c r="L66" s="100">
        <v>12</v>
      </c>
      <c r="M66" s="100">
        <v>22</v>
      </c>
      <c r="N66" s="93">
        <v>28</v>
      </c>
      <c r="O66" s="265">
        <v>34</v>
      </c>
      <c r="P66" s="265">
        <v>43</v>
      </c>
      <c r="Q66" s="324">
        <v>36</v>
      </c>
      <c r="R66" s="324">
        <f>43+2</f>
        <v>45</v>
      </c>
      <c r="S66" s="351">
        <v>39</v>
      </c>
      <c r="T66" s="324">
        <v>56</v>
      </c>
      <c r="U66" s="324">
        <f>70+1</f>
        <v>71</v>
      </c>
      <c r="V66" s="280">
        <v>42</v>
      </c>
      <c r="W66" s="92">
        <f>55+2</f>
        <v>57</v>
      </c>
      <c r="X66" s="93">
        <v>59</v>
      </c>
      <c r="Y66" s="93">
        <v>48</v>
      </c>
      <c r="Z66" s="92">
        <v>39</v>
      </c>
      <c r="AA66" s="92">
        <v>48</v>
      </c>
      <c r="AB66" s="92">
        <v>58</v>
      </c>
      <c r="AC66" s="92">
        <v>49</v>
      </c>
      <c r="AD66" s="92">
        <v>56</v>
      </c>
      <c r="AE66" s="101">
        <v>39</v>
      </c>
      <c r="AF66" s="114">
        <f t="shared" ref="AF66:AF72" si="24">IF(AE66=0," ",IF(AI66&gt;20,(AE66-AD66)/AD66," "))</f>
        <v>-0.30357142857142855</v>
      </c>
      <c r="AG66" s="235">
        <f t="shared" ref="AG66:AG72" si="25">IF(AE66=0," ",IF(AI66&gt;20,(AE66-Z66)/Z66," "))</f>
        <v>0</v>
      </c>
      <c r="AH66" s="236">
        <f t="shared" ref="AH66:AH72" si="26">IF(AE66=0," ",(IF(AI66&gt;20,(AE66-U66)/U66," ")))</f>
        <v>-0.45070422535211269</v>
      </c>
      <c r="AI66" s="247">
        <f t="shared" ref="AI66:AI72" si="27">IF(AC66&gt;0,AVERAGE(AC66:AE66),"  ")</f>
        <v>48</v>
      </c>
      <c r="AJ66" s="370">
        <f>RANK(AE66,($AE$9:$AE$13,$AE$15:$AE$16,$AE$19:$AE$37,$AE$41:$AE$52,$AE$55:$AE$63,$AE$66:$AE$71),0)</f>
        <v>13</v>
      </c>
    </row>
    <row r="67" spans="1:178" ht="12" x14ac:dyDescent="0.2">
      <c r="A67" s="408" t="s">
        <v>9</v>
      </c>
      <c r="B67" s="73">
        <v>163</v>
      </c>
      <c r="C67" s="73">
        <v>161</v>
      </c>
      <c r="D67" s="73">
        <v>185</v>
      </c>
      <c r="E67" s="73">
        <v>160</v>
      </c>
      <c r="F67" s="73">
        <v>167</v>
      </c>
      <c r="G67" s="73">
        <v>137</v>
      </c>
      <c r="H67" s="5">
        <v>168</v>
      </c>
      <c r="I67" s="5">
        <v>169</v>
      </c>
      <c r="J67" s="73">
        <v>194</v>
      </c>
      <c r="K67" s="73">
        <v>145</v>
      </c>
      <c r="L67" s="73">
        <v>108</v>
      </c>
      <c r="M67" s="73">
        <v>129</v>
      </c>
      <c r="N67" s="5">
        <v>113</v>
      </c>
      <c r="O67" s="266">
        <v>98</v>
      </c>
      <c r="P67" s="266">
        <v>97</v>
      </c>
      <c r="Q67" s="318">
        <v>93</v>
      </c>
      <c r="R67" s="318">
        <f>96+4</f>
        <v>100</v>
      </c>
      <c r="S67" s="352">
        <f>113+3</f>
        <v>116</v>
      </c>
      <c r="T67" s="318">
        <v>117</v>
      </c>
      <c r="U67" s="318">
        <f>115+9</f>
        <v>124</v>
      </c>
      <c r="V67" s="276">
        <v>102</v>
      </c>
      <c r="W67" s="74">
        <v>122</v>
      </c>
      <c r="X67" s="5">
        <v>113</v>
      </c>
      <c r="Y67" s="5">
        <v>81</v>
      </c>
      <c r="Z67" s="74">
        <v>90</v>
      </c>
      <c r="AA67" s="74">
        <v>77</v>
      </c>
      <c r="AB67" s="74">
        <v>49</v>
      </c>
      <c r="AC67" s="74">
        <v>76</v>
      </c>
      <c r="AD67" s="74">
        <v>78</v>
      </c>
      <c r="AE67" s="75">
        <v>67</v>
      </c>
      <c r="AF67" s="229">
        <f t="shared" si="24"/>
        <v>-0.14102564102564102</v>
      </c>
      <c r="AG67" s="230">
        <f t="shared" si="25"/>
        <v>-0.25555555555555554</v>
      </c>
      <c r="AH67" s="231">
        <f t="shared" si="26"/>
        <v>-0.45967741935483869</v>
      </c>
      <c r="AI67" s="125">
        <f t="shared" si="27"/>
        <v>73.666666666666671</v>
      </c>
      <c r="AJ67" s="370">
        <f>RANK(AE67,($AE$9:$AE$13,$AE$15:$AE$16,$AE$19:$AE$37,$AE$41:$AE$52,$AE$55:$AE$63,$AE$66:$AE$71),0)</f>
        <v>8</v>
      </c>
    </row>
    <row r="68" spans="1:178" ht="12" hidden="1" x14ac:dyDescent="0.2">
      <c r="A68" s="560" t="s">
        <v>174</v>
      </c>
      <c r="B68" s="77"/>
      <c r="C68" s="77"/>
      <c r="D68" s="77"/>
      <c r="E68" s="77"/>
      <c r="F68" s="77"/>
      <c r="G68" s="77"/>
      <c r="H68" s="7"/>
      <c r="I68" s="7"/>
      <c r="J68" s="77"/>
      <c r="K68" s="77"/>
      <c r="L68" s="77"/>
      <c r="M68" s="77"/>
      <c r="N68" s="7"/>
      <c r="O68" s="267"/>
      <c r="P68" s="267"/>
      <c r="Q68" s="319"/>
      <c r="R68" s="319"/>
      <c r="S68" s="353"/>
      <c r="T68" s="319"/>
      <c r="U68" s="319">
        <v>0</v>
      </c>
      <c r="V68" s="277"/>
      <c r="W68" s="78"/>
      <c r="X68" s="7"/>
      <c r="Y68" s="7"/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9">
        <v>0</v>
      </c>
      <c r="AF68" s="232" t="str">
        <f t="shared" si="24"/>
        <v xml:space="preserve"> </v>
      </c>
      <c r="AG68" s="233" t="str">
        <f t="shared" si="25"/>
        <v xml:space="preserve"> </v>
      </c>
      <c r="AH68" s="234" t="str">
        <f t="shared" si="26"/>
        <v xml:space="preserve"> </v>
      </c>
      <c r="AI68" s="246" t="str">
        <f t="shared" si="27"/>
        <v xml:space="preserve">  </v>
      </c>
      <c r="AJ68" s="370">
        <f>RANK(AE68,($AE$9:$AE$13,$AE$15:$AE$16,$AE$19:$AE$37,$AE$41:$AE$52,$AE$55:$AE$63,$AE$66:$AE$71),0)</f>
        <v>48</v>
      </c>
    </row>
    <row r="69" spans="1:178" ht="15" x14ac:dyDescent="0.25">
      <c r="A69" s="408" t="s">
        <v>155</v>
      </c>
      <c r="B69" s="73">
        <v>0</v>
      </c>
      <c r="C69" s="73">
        <v>0</v>
      </c>
      <c r="D69" s="73"/>
      <c r="E69" s="73">
        <v>0</v>
      </c>
      <c r="F69" s="73">
        <v>0</v>
      </c>
      <c r="G69" s="73">
        <v>0</v>
      </c>
      <c r="H69" s="5">
        <v>0</v>
      </c>
      <c r="I69" s="5">
        <v>0</v>
      </c>
      <c r="J69" s="73">
        <v>0</v>
      </c>
      <c r="K69" s="73">
        <v>1</v>
      </c>
      <c r="L69" s="73">
        <v>7</v>
      </c>
      <c r="M69" s="73">
        <v>4</v>
      </c>
      <c r="N69" s="5">
        <v>2</v>
      </c>
      <c r="O69" s="266">
        <v>3</v>
      </c>
      <c r="P69" s="266">
        <v>5</v>
      </c>
      <c r="Q69" s="318">
        <v>4</v>
      </c>
      <c r="R69" s="318">
        <f>14+1</f>
        <v>15</v>
      </c>
      <c r="S69" s="352">
        <v>19</v>
      </c>
      <c r="T69" s="318">
        <v>22</v>
      </c>
      <c r="U69" s="318">
        <f>14+1</f>
        <v>15</v>
      </c>
      <c r="V69" s="276">
        <v>26</v>
      </c>
      <c r="W69" s="74">
        <f>26+1</f>
        <v>27</v>
      </c>
      <c r="X69" s="5">
        <v>12</v>
      </c>
      <c r="Y69" s="5">
        <v>1</v>
      </c>
      <c r="Z69" s="74">
        <v>0</v>
      </c>
      <c r="AA69" s="74">
        <v>0</v>
      </c>
      <c r="AB69" s="74">
        <v>0</v>
      </c>
      <c r="AC69" s="74">
        <v>0</v>
      </c>
      <c r="AD69" s="74">
        <v>0</v>
      </c>
      <c r="AE69" s="75">
        <v>0</v>
      </c>
      <c r="AF69" s="229" t="str">
        <f t="shared" si="24"/>
        <v xml:space="preserve"> </v>
      </c>
      <c r="AG69" s="230" t="str">
        <f t="shared" si="25"/>
        <v xml:space="preserve"> </v>
      </c>
      <c r="AH69" s="231" t="str">
        <f t="shared" si="26"/>
        <v xml:space="preserve"> </v>
      </c>
      <c r="AI69" s="125" t="str">
        <f t="shared" si="27"/>
        <v xml:space="preserve">  </v>
      </c>
      <c r="AJ69" s="372">
        <f>RANK(AE69,($AE$9:$AE$13,$AE$15:$AE$16,$AE$19:$AE$37,$AE$41:$AE$52,$AE$55:$AE$63,$AE$66:$AE$71),0)</f>
        <v>48</v>
      </c>
    </row>
    <row r="70" spans="1:178" ht="12" x14ac:dyDescent="0.2">
      <c r="A70" s="408" t="s">
        <v>154</v>
      </c>
      <c r="B70" s="73"/>
      <c r="C70" s="73"/>
      <c r="D70" s="73"/>
      <c r="E70" s="73"/>
      <c r="F70" s="73"/>
      <c r="G70" s="73"/>
      <c r="H70" s="5"/>
      <c r="I70" s="5"/>
      <c r="J70" s="73"/>
      <c r="K70" s="73"/>
      <c r="L70" s="73"/>
      <c r="M70" s="73"/>
      <c r="N70" s="5"/>
      <c r="O70" s="266"/>
      <c r="P70" s="266"/>
      <c r="Q70" s="318"/>
      <c r="R70" s="318">
        <v>0</v>
      </c>
      <c r="S70" s="352"/>
      <c r="T70" s="318">
        <v>0</v>
      </c>
      <c r="U70" s="318">
        <v>0</v>
      </c>
      <c r="V70" s="276"/>
      <c r="W70" s="74">
        <v>0</v>
      </c>
      <c r="X70" s="5">
        <v>0</v>
      </c>
      <c r="Y70" s="5">
        <v>0</v>
      </c>
      <c r="Z70" s="74">
        <v>0</v>
      </c>
      <c r="AA70" s="74">
        <v>1</v>
      </c>
      <c r="AB70" s="74">
        <v>0</v>
      </c>
      <c r="AC70" s="74">
        <v>5</v>
      </c>
      <c r="AD70" s="74">
        <v>7</v>
      </c>
      <c r="AE70" s="75">
        <v>13</v>
      </c>
      <c r="AF70" s="229" t="str">
        <f t="shared" si="24"/>
        <v xml:space="preserve"> </v>
      </c>
      <c r="AG70" s="230" t="str">
        <f t="shared" si="25"/>
        <v xml:space="preserve"> </v>
      </c>
      <c r="AH70" s="231" t="str">
        <f t="shared" si="26"/>
        <v xml:space="preserve"> </v>
      </c>
      <c r="AI70" s="125">
        <f t="shared" si="27"/>
        <v>8.3333333333333339</v>
      </c>
      <c r="AJ70" s="370">
        <f>RANK(AE70,($AE$9:$AE$13,$AE$15:$AE$16,$AE$19:$AE$37,$AE$41:$AE$52,$AE$55:$AE$63,$AE$66:$AE$71),0)</f>
        <v>29</v>
      </c>
    </row>
    <row r="71" spans="1:178" ht="12" x14ac:dyDescent="0.2">
      <c r="A71" s="556" t="s">
        <v>22</v>
      </c>
      <c r="B71" s="110">
        <v>38</v>
      </c>
      <c r="C71" s="110">
        <v>48</v>
      </c>
      <c r="D71" s="110">
        <v>68</v>
      </c>
      <c r="E71" s="110">
        <v>56</v>
      </c>
      <c r="F71" s="110">
        <v>52</v>
      </c>
      <c r="G71" s="110">
        <v>63</v>
      </c>
      <c r="H71" s="94">
        <v>62</v>
      </c>
      <c r="I71" s="94">
        <v>63</v>
      </c>
      <c r="J71" s="110">
        <v>37</v>
      </c>
      <c r="K71" s="110">
        <v>38</v>
      </c>
      <c r="L71" s="110">
        <v>34</v>
      </c>
      <c r="M71" s="110">
        <v>41</v>
      </c>
      <c r="N71" s="94">
        <v>43</v>
      </c>
      <c r="O71" s="274">
        <v>30</v>
      </c>
      <c r="P71" s="274">
        <v>28</v>
      </c>
      <c r="Q71" s="327">
        <v>37</v>
      </c>
      <c r="R71" s="327">
        <v>38</v>
      </c>
      <c r="S71" s="357">
        <v>29</v>
      </c>
      <c r="T71" s="327">
        <v>44</v>
      </c>
      <c r="U71" s="327">
        <v>40</v>
      </c>
      <c r="V71" s="282">
        <v>22</v>
      </c>
      <c r="W71" s="83">
        <v>21</v>
      </c>
      <c r="X71" s="94">
        <v>31</v>
      </c>
      <c r="Y71" s="94">
        <v>22</v>
      </c>
      <c r="Z71" s="83">
        <v>18</v>
      </c>
      <c r="AA71" s="83">
        <v>25</v>
      </c>
      <c r="AB71" s="83">
        <v>25</v>
      </c>
      <c r="AC71" s="83">
        <v>35</v>
      </c>
      <c r="AD71" s="83">
        <v>18</v>
      </c>
      <c r="AE71" s="82">
        <v>30</v>
      </c>
      <c r="AF71" s="557">
        <f t="shared" si="24"/>
        <v>0.66666666666666663</v>
      </c>
      <c r="AG71" s="558">
        <f t="shared" si="25"/>
        <v>0.66666666666666663</v>
      </c>
      <c r="AH71" s="559">
        <f t="shared" si="26"/>
        <v>-0.25</v>
      </c>
      <c r="AI71" s="553">
        <f t="shared" si="27"/>
        <v>27.666666666666668</v>
      </c>
      <c r="AJ71" s="370">
        <f>RANK(AE71,($AE$9:$AE$13,$AE$15:$AE$16,$AE$19:$AE$37,$AE$41:$AE$52,$AE$55:$AE$63,$AE$66:$AE$71),0)</f>
        <v>15</v>
      </c>
    </row>
    <row r="72" spans="1:178" s="17" customFormat="1" ht="12.75" thickBot="1" x14ac:dyDescent="0.25">
      <c r="A72" s="424" t="s">
        <v>81</v>
      </c>
      <c r="B72" s="115">
        <f t="shared" ref="B72:AE72" si="28">SUM(B66:B71)</f>
        <v>201</v>
      </c>
      <c r="C72" s="115">
        <f t="shared" si="28"/>
        <v>209</v>
      </c>
      <c r="D72" s="115">
        <f t="shared" si="28"/>
        <v>253</v>
      </c>
      <c r="E72" s="115">
        <f t="shared" si="28"/>
        <v>216</v>
      </c>
      <c r="F72" s="115">
        <f t="shared" si="28"/>
        <v>219</v>
      </c>
      <c r="G72" s="115">
        <f t="shared" si="28"/>
        <v>200</v>
      </c>
      <c r="H72" s="115">
        <f t="shared" si="28"/>
        <v>230</v>
      </c>
      <c r="I72" s="115">
        <f t="shared" si="28"/>
        <v>232</v>
      </c>
      <c r="J72" s="115">
        <f t="shared" si="28"/>
        <v>231</v>
      </c>
      <c r="K72" s="115">
        <f t="shared" si="28"/>
        <v>184</v>
      </c>
      <c r="L72" s="115">
        <f t="shared" si="28"/>
        <v>161</v>
      </c>
      <c r="M72" s="115">
        <f t="shared" si="28"/>
        <v>196</v>
      </c>
      <c r="N72" s="115">
        <f t="shared" si="28"/>
        <v>186</v>
      </c>
      <c r="O72" s="284">
        <f t="shared" si="28"/>
        <v>165</v>
      </c>
      <c r="P72" s="284">
        <f t="shared" si="28"/>
        <v>173</v>
      </c>
      <c r="Q72" s="330">
        <f t="shared" si="28"/>
        <v>170</v>
      </c>
      <c r="R72" s="330">
        <f t="shared" si="28"/>
        <v>198</v>
      </c>
      <c r="S72" s="330">
        <f t="shared" si="28"/>
        <v>203</v>
      </c>
      <c r="T72" s="330">
        <f t="shared" si="28"/>
        <v>239</v>
      </c>
      <c r="U72" s="330">
        <f t="shared" si="28"/>
        <v>250</v>
      </c>
      <c r="V72" s="183">
        <f t="shared" si="28"/>
        <v>192</v>
      </c>
      <c r="W72" s="115">
        <f t="shared" si="28"/>
        <v>227</v>
      </c>
      <c r="X72" s="115">
        <f t="shared" si="28"/>
        <v>215</v>
      </c>
      <c r="Y72" s="115">
        <f t="shared" si="28"/>
        <v>152</v>
      </c>
      <c r="Z72" s="115">
        <f t="shared" si="28"/>
        <v>147</v>
      </c>
      <c r="AA72" s="115">
        <f t="shared" si="28"/>
        <v>151</v>
      </c>
      <c r="AB72" s="115">
        <f t="shared" si="28"/>
        <v>132</v>
      </c>
      <c r="AC72" s="115">
        <f t="shared" si="28"/>
        <v>165</v>
      </c>
      <c r="AD72" s="115">
        <f t="shared" si="28"/>
        <v>159</v>
      </c>
      <c r="AE72" s="115">
        <f t="shared" si="28"/>
        <v>149</v>
      </c>
      <c r="AF72" s="214">
        <f t="shared" si="24"/>
        <v>-6.2893081761006289E-2</v>
      </c>
      <c r="AG72" s="214">
        <f t="shared" si="25"/>
        <v>1.3605442176870748E-2</v>
      </c>
      <c r="AH72" s="214">
        <f t="shared" si="26"/>
        <v>-0.40400000000000003</v>
      </c>
      <c r="AI72" s="115">
        <f t="shared" si="27"/>
        <v>157.66666666666666</v>
      </c>
      <c r="AJ72" s="89"/>
      <c r="AK72" s="91"/>
      <c r="AL72" s="91"/>
      <c r="AM72" s="91"/>
      <c r="AN72" s="91"/>
      <c r="AO72" s="91"/>
      <c r="AP72" s="91"/>
      <c r="AQ72" s="91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</row>
    <row r="73" spans="1:178" ht="13.5" thickTop="1" thickBot="1" x14ac:dyDescent="0.25">
      <c r="A73" s="425" t="s">
        <v>82</v>
      </c>
      <c r="B73" s="31">
        <f t="shared" ref="B73:AE73" si="29">+B72+B64+B53+B39+B17</f>
        <v>1006</v>
      </c>
      <c r="C73" s="31">
        <f t="shared" si="29"/>
        <v>1073</v>
      </c>
      <c r="D73" s="31">
        <f t="shared" si="29"/>
        <v>1135</v>
      </c>
      <c r="E73" s="31">
        <f t="shared" si="29"/>
        <v>1185</v>
      </c>
      <c r="F73" s="31">
        <f t="shared" si="29"/>
        <v>1107</v>
      </c>
      <c r="G73" s="31">
        <f t="shared" si="29"/>
        <v>991</v>
      </c>
      <c r="H73" s="31">
        <f t="shared" si="29"/>
        <v>1216</v>
      </c>
      <c r="I73" s="31">
        <f t="shared" si="29"/>
        <v>1231</v>
      </c>
      <c r="J73" s="31">
        <f t="shared" si="29"/>
        <v>1352</v>
      </c>
      <c r="K73" s="31">
        <f t="shared" si="29"/>
        <v>1299</v>
      </c>
      <c r="L73" s="31">
        <f t="shared" si="29"/>
        <v>1313</v>
      </c>
      <c r="M73" s="31">
        <f t="shared" si="29"/>
        <v>1400</v>
      </c>
      <c r="N73" s="31">
        <f t="shared" si="29"/>
        <v>1439</v>
      </c>
      <c r="O73" s="285">
        <f t="shared" si="29"/>
        <v>1553</v>
      </c>
      <c r="P73" s="285">
        <f t="shared" si="29"/>
        <v>1608</v>
      </c>
      <c r="Q73" s="331">
        <f t="shared" si="29"/>
        <v>1661</v>
      </c>
      <c r="R73" s="331">
        <f t="shared" si="29"/>
        <v>1709</v>
      </c>
      <c r="S73" s="331">
        <f t="shared" si="29"/>
        <v>1787</v>
      </c>
      <c r="T73" s="331">
        <f t="shared" si="29"/>
        <v>1872</v>
      </c>
      <c r="U73" s="331">
        <f t="shared" si="29"/>
        <v>1899</v>
      </c>
      <c r="V73" s="184">
        <f t="shared" si="29"/>
        <v>1935</v>
      </c>
      <c r="W73" s="31">
        <f t="shared" si="29"/>
        <v>1967</v>
      </c>
      <c r="X73" s="31">
        <f t="shared" si="29"/>
        <v>2026</v>
      </c>
      <c r="Y73" s="31">
        <f t="shared" si="29"/>
        <v>1872</v>
      </c>
      <c r="Z73" s="31">
        <f t="shared" si="29"/>
        <v>1805</v>
      </c>
      <c r="AA73" s="31">
        <f t="shared" si="29"/>
        <v>1907</v>
      </c>
      <c r="AB73" s="31">
        <f t="shared" si="29"/>
        <v>1842</v>
      </c>
      <c r="AC73" s="31">
        <f t="shared" si="29"/>
        <v>1664</v>
      </c>
      <c r="AD73" s="31">
        <f t="shared" si="29"/>
        <v>1605</v>
      </c>
      <c r="AE73" s="31">
        <f t="shared" si="29"/>
        <v>1468</v>
      </c>
      <c r="AF73" s="116">
        <f t="shared" ref="AF73" si="30">IF(AE73=0," ",IF(AI73&gt;20,(AE73-AC73)/AC73," "))</f>
        <v>-0.11778846153846154</v>
      </c>
      <c r="AG73" s="116">
        <f t="shared" ref="AG73" si="31">IF(AE73=0," ",IF(AI73&gt;20,(AE73-Y73)/Y73," "))</f>
        <v>-0.21581196581196582</v>
      </c>
      <c r="AH73" s="117">
        <f t="shared" ref="AH73" si="32">IF(AE73=0," ",(IF(AI73&gt;20,(AE73-T73)/T73," ")))</f>
        <v>-0.21581196581196582</v>
      </c>
      <c r="AI73" s="215">
        <f t="shared" ref="AI73" si="33">IF(AB73&gt;0,AVERAGE(AB73:AE73),"  ")</f>
        <v>1644.75</v>
      </c>
      <c r="AJ73" s="90"/>
      <c r="AK73" s="95"/>
      <c r="AL73" s="95"/>
      <c r="AM73" s="95"/>
      <c r="AN73" s="95"/>
      <c r="AO73" s="95"/>
      <c r="AP73" s="95"/>
      <c r="AQ73" s="95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</row>
    <row r="74" spans="1:178" ht="12.75" thickTop="1" x14ac:dyDescent="0.2">
      <c r="A74" s="426"/>
      <c r="B74" s="32"/>
      <c r="C74" s="32"/>
      <c r="D74" s="33"/>
      <c r="E74" s="33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79"/>
      <c r="Z74" s="179"/>
      <c r="AA74" s="179"/>
      <c r="AB74" s="179"/>
      <c r="AC74" s="179"/>
      <c r="AD74" s="179"/>
      <c r="AE74" s="179"/>
      <c r="AF74" s="179"/>
      <c r="AG74" s="34"/>
      <c r="AH74" s="32"/>
      <c r="AI74" s="35"/>
      <c r="AJ74" s="90"/>
      <c r="AK74" s="90"/>
      <c r="AL74" s="95"/>
      <c r="AM74" s="95"/>
      <c r="AN74" s="95"/>
      <c r="AO74" s="95"/>
      <c r="AP74" s="95"/>
      <c r="AQ74" s="95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</row>
    <row r="75" spans="1:178" ht="15" x14ac:dyDescent="0.25">
      <c r="A75" s="625" t="s">
        <v>122</v>
      </c>
      <c r="B75" s="625"/>
      <c r="C75" s="625"/>
      <c r="D75" s="625"/>
      <c r="E75" s="625"/>
      <c r="F75" s="625"/>
      <c r="G75" s="625"/>
      <c r="H75" s="625"/>
      <c r="I75" s="625"/>
      <c r="J75" s="625"/>
      <c r="K75" s="625"/>
      <c r="L75" s="625"/>
      <c r="M75" s="625"/>
      <c r="N75" s="625"/>
      <c r="O75" s="625"/>
      <c r="P75" s="625"/>
      <c r="Q75" s="625"/>
      <c r="R75" s="625"/>
      <c r="S75" s="625"/>
      <c r="T75" s="625"/>
      <c r="U75" s="625"/>
      <c r="V75" s="625"/>
      <c r="W75" s="625"/>
      <c r="X75" s="625"/>
      <c r="Y75" s="625"/>
      <c r="Z75" s="625"/>
      <c r="AA75" s="625"/>
      <c r="AB75" s="625"/>
      <c r="AC75" s="625"/>
      <c r="AD75" s="625"/>
      <c r="AE75" s="625"/>
      <c r="AF75" s="625"/>
      <c r="AG75" s="625"/>
      <c r="AH75" s="625"/>
      <c r="AI75" s="625"/>
    </row>
    <row r="76" spans="1:178" ht="15.75" x14ac:dyDescent="0.25">
      <c r="A76" s="427"/>
      <c r="B76" s="427"/>
      <c r="C76" s="427"/>
      <c r="D76" s="428"/>
      <c r="E76" s="428"/>
      <c r="F76" s="429"/>
      <c r="G76" s="428"/>
      <c r="H76" s="430"/>
      <c r="I76" s="430"/>
      <c r="J76" s="430"/>
      <c r="K76" s="430"/>
      <c r="L76" s="431"/>
      <c r="M76" s="430"/>
      <c r="N76" s="430"/>
      <c r="O76" s="430"/>
      <c r="P76" s="430"/>
      <c r="Q76" s="430"/>
      <c r="R76" s="430"/>
      <c r="S76" s="430"/>
      <c r="T76" s="430"/>
      <c r="U76" s="430"/>
      <c r="V76" s="430"/>
      <c r="W76" s="430"/>
      <c r="X76" s="430"/>
      <c r="Y76" s="428"/>
      <c r="Z76" s="428"/>
      <c r="AA76" s="428"/>
      <c r="AB76" s="428"/>
      <c r="AC76" s="428"/>
      <c r="AD76" s="428"/>
      <c r="AE76" s="428"/>
      <c r="AF76" s="428"/>
      <c r="AG76" s="432"/>
      <c r="AH76" s="36"/>
      <c r="AI76" s="37"/>
      <c r="AJ76" s="90"/>
      <c r="AK76" s="90"/>
      <c r="AL76" s="95"/>
      <c r="AM76" s="95"/>
      <c r="AN76" s="95"/>
      <c r="AO76" s="95"/>
      <c r="AP76" s="95"/>
      <c r="AQ76" s="95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</row>
    <row r="77" spans="1:178" ht="12" customHeight="1" x14ac:dyDescent="0.2">
      <c r="A77" s="608" t="s">
        <v>67</v>
      </c>
      <c r="B77" s="389"/>
      <c r="C77" s="390"/>
      <c r="D77" s="390"/>
      <c r="E77" s="389"/>
      <c r="F77" s="389"/>
      <c r="G77" s="390"/>
      <c r="H77" s="391"/>
      <c r="I77" s="391"/>
      <c r="J77" s="390"/>
      <c r="K77" s="392"/>
      <c r="L77" s="392"/>
      <c r="M77" s="392"/>
      <c r="N77" s="391"/>
      <c r="O77" s="393"/>
      <c r="P77" s="394"/>
      <c r="Q77" s="395"/>
      <c r="R77" s="395"/>
      <c r="S77" s="396"/>
      <c r="T77" s="395"/>
      <c r="U77" s="509" t="s">
        <v>156</v>
      </c>
      <c r="V77" s="397"/>
      <c r="W77" s="398"/>
      <c r="X77" s="399"/>
      <c r="Y77" s="399"/>
      <c r="Z77" s="500" t="s">
        <v>156</v>
      </c>
      <c r="AA77" s="500" t="s">
        <v>156</v>
      </c>
      <c r="AB77" s="500" t="s">
        <v>156</v>
      </c>
      <c r="AC77" s="500" t="s">
        <v>156</v>
      </c>
      <c r="AD77" s="500" t="s">
        <v>156</v>
      </c>
      <c r="AE77" s="502" t="s">
        <v>156</v>
      </c>
      <c r="AF77" s="619" t="s">
        <v>97</v>
      </c>
      <c r="AG77" s="621" t="s">
        <v>98</v>
      </c>
      <c r="AH77" s="619" t="s">
        <v>99</v>
      </c>
      <c r="AI77" s="623" t="s">
        <v>173</v>
      </c>
      <c r="AJ77" s="90"/>
      <c r="AK77" s="90"/>
      <c r="AL77" s="95"/>
      <c r="AM77" s="95"/>
      <c r="AN77" s="95"/>
      <c r="AO77" s="95"/>
      <c r="AP77" s="95"/>
      <c r="AQ77" s="95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</row>
    <row r="78" spans="1:178" ht="12.75" thickBot="1" x14ac:dyDescent="0.25">
      <c r="A78" s="609"/>
      <c r="B78" s="59" t="s">
        <v>84</v>
      </c>
      <c r="C78" s="60" t="s">
        <v>34</v>
      </c>
      <c r="D78" s="59" t="s">
        <v>40</v>
      </c>
      <c r="E78" s="60" t="s">
        <v>41</v>
      </c>
      <c r="F78" s="60" t="s">
        <v>42</v>
      </c>
      <c r="G78" s="59" t="s">
        <v>43</v>
      </c>
      <c r="H78" s="61" t="s">
        <v>44</v>
      </c>
      <c r="I78" s="62" t="s">
        <v>36</v>
      </c>
      <c r="J78" s="63" t="s">
        <v>37</v>
      </c>
      <c r="K78" s="63" t="s">
        <v>38</v>
      </c>
      <c r="L78" s="63" t="s">
        <v>39</v>
      </c>
      <c r="M78" s="63" t="s">
        <v>35</v>
      </c>
      <c r="N78" s="62" t="s">
        <v>45</v>
      </c>
      <c r="O78" s="264" t="s">
        <v>46</v>
      </c>
      <c r="P78" s="264" t="s">
        <v>49</v>
      </c>
      <c r="Q78" s="317" t="s">
        <v>52</v>
      </c>
      <c r="R78" s="317" t="s">
        <v>55</v>
      </c>
      <c r="S78" s="358" t="s">
        <v>56</v>
      </c>
      <c r="T78" s="368" t="s">
        <v>59</v>
      </c>
      <c r="U78" s="380" t="s">
        <v>60</v>
      </c>
      <c r="V78" s="348" t="s">
        <v>61</v>
      </c>
      <c r="W78" s="6" t="s">
        <v>62</v>
      </c>
      <c r="X78" s="64" t="s">
        <v>64</v>
      </c>
      <c r="Y78" s="64" t="s">
        <v>66</v>
      </c>
      <c r="Z78" s="6" t="s">
        <v>100</v>
      </c>
      <c r="AA78" s="6" t="s">
        <v>104</v>
      </c>
      <c r="AB78" s="6" t="s">
        <v>105</v>
      </c>
      <c r="AC78" s="6" t="s">
        <v>108</v>
      </c>
      <c r="AD78" s="6" t="s">
        <v>116</v>
      </c>
      <c r="AE78" s="65" t="s">
        <v>121</v>
      </c>
      <c r="AF78" s="642"/>
      <c r="AG78" s="643"/>
      <c r="AH78" s="642"/>
      <c r="AI78" s="644"/>
      <c r="AJ78" s="90"/>
      <c r="AK78" s="90"/>
      <c r="AL78" s="95"/>
      <c r="AM78" s="95"/>
      <c r="AN78" s="95"/>
      <c r="AO78" s="95"/>
      <c r="AP78" s="95"/>
      <c r="AQ78" s="95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</row>
    <row r="79" spans="1:178" ht="12.75" thickTop="1" x14ac:dyDescent="0.2">
      <c r="A79" s="433" t="s">
        <v>83</v>
      </c>
      <c r="B79" s="38"/>
      <c r="C79" s="38"/>
      <c r="D79" s="39"/>
      <c r="E79" s="39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1"/>
      <c r="AA79" s="41"/>
      <c r="AB79" s="41"/>
      <c r="AC79" s="41"/>
      <c r="AD79" s="41"/>
      <c r="AE79" s="41"/>
      <c r="AF79" s="41"/>
      <c r="AG79" s="41"/>
      <c r="AH79" s="40"/>
      <c r="AI79" s="42"/>
      <c r="AJ79" s="90"/>
      <c r="AK79" s="90"/>
      <c r="AL79" s="95"/>
      <c r="AM79" s="95"/>
      <c r="AN79" s="95"/>
      <c r="AO79" s="95"/>
      <c r="AP79" s="95"/>
      <c r="AQ79" s="95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</row>
    <row r="80" spans="1:178" ht="12" x14ac:dyDescent="0.2">
      <c r="A80" s="434" t="s">
        <v>69</v>
      </c>
      <c r="B80" s="43"/>
      <c r="C80" s="43"/>
      <c r="D80" s="44"/>
      <c r="E80" s="44"/>
      <c r="F80" s="43"/>
      <c r="G80" s="45"/>
      <c r="H80" s="45"/>
      <c r="I80" s="45"/>
      <c r="J80" s="43"/>
      <c r="K80" s="43"/>
      <c r="L80" s="43"/>
      <c r="M80" s="43"/>
      <c r="N80" s="43"/>
      <c r="O80" s="43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7"/>
      <c r="AA80" s="47"/>
      <c r="AB80" s="47"/>
      <c r="AC80" s="47"/>
      <c r="AD80" s="47"/>
      <c r="AE80" s="47"/>
      <c r="AF80" s="47"/>
      <c r="AG80" s="47"/>
      <c r="AH80" s="48"/>
      <c r="AI80" s="49"/>
      <c r="AJ80" s="90"/>
      <c r="AK80" s="90"/>
      <c r="AL80" s="95"/>
      <c r="AM80" s="95"/>
      <c r="AN80" s="95"/>
      <c r="AO80" s="95"/>
      <c r="AP80" s="95"/>
      <c r="AQ80" s="95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</row>
    <row r="81" spans="1:178" ht="12" x14ac:dyDescent="0.2">
      <c r="A81" s="435" t="s">
        <v>70</v>
      </c>
      <c r="B81" s="50"/>
      <c r="C81" s="50"/>
      <c r="D81" s="51"/>
      <c r="E81" s="51"/>
      <c r="F81" s="50"/>
      <c r="G81" s="52"/>
      <c r="H81" s="52"/>
      <c r="I81" s="52"/>
      <c r="J81" s="50"/>
      <c r="K81" s="50"/>
      <c r="L81" s="50"/>
      <c r="M81" s="50"/>
      <c r="N81" s="50"/>
      <c r="O81" s="50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4"/>
      <c r="AA81" s="54"/>
      <c r="AB81" s="54"/>
      <c r="AC81" s="54"/>
      <c r="AD81" s="54"/>
      <c r="AE81" s="54"/>
      <c r="AF81" s="54"/>
      <c r="AG81" s="54"/>
      <c r="AH81" s="55"/>
      <c r="AI81" s="56"/>
      <c r="AJ81" s="90"/>
      <c r="AK81" s="90"/>
      <c r="AL81" s="95"/>
      <c r="AM81" s="95"/>
      <c r="AN81" s="95"/>
      <c r="AO81" s="95"/>
      <c r="AP81" s="95"/>
      <c r="AQ81" s="95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</row>
    <row r="82" spans="1:178" ht="12" x14ac:dyDescent="0.2">
      <c r="A82" s="400" t="s">
        <v>157</v>
      </c>
      <c r="B82" s="100"/>
      <c r="C82" s="100"/>
      <c r="D82" s="100"/>
      <c r="E82" s="100"/>
      <c r="F82" s="100"/>
      <c r="G82" s="132"/>
      <c r="H82" s="93"/>
      <c r="I82" s="93"/>
      <c r="J82" s="133"/>
      <c r="K82" s="133"/>
      <c r="L82" s="133"/>
      <c r="M82" s="133"/>
      <c r="N82" s="93"/>
      <c r="O82" s="265"/>
      <c r="P82" s="265"/>
      <c r="Q82" s="336"/>
      <c r="R82" s="336">
        <v>0</v>
      </c>
      <c r="S82" s="351"/>
      <c r="T82" s="336">
        <v>0</v>
      </c>
      <c r="U82" s="336">
        <v>0</v>
      </c>
      <c r="V82" s="188"/>
      <c r="W82" s="134"/>
      <c r="X82" s="93"/>
      <c r="Y82" s="93">
        <v>3</v>
      </c>
      <c r="Z82" s="134">
        <v>3</v>
      </c>
      <c r="AA82" s="134">
        <v>9</v>
      </c>
      <c r="AB82" s="134">
        <v>2</v>
      </c>
      <c r="AC82" s="134">
        <v>6</v>
      </c>
      <c r="AD82" s="134">
        <v>0</v>
      </c>
      <c r="AE82" s="135">
        <v>0</v>
      </c>
      <c r="AF82" s="114" t="str">
        <f>IF(AE82=0," ",IF(AI82&gt;20,(AE82-AD82)/AD82," "))</f>
        <v xml:space="preserve"> </v>
      </c>
      <c r="AG82" s="235" t="str">
        <f>IF(AE82=0," ",IF(AI82&gt;20,(AE82-Z82)/Z82," "))</f>
        <v xml:space="preserve"> </v>
      </c>
      <c r="AH82" s="236" t="str">
        <f>IF(AE82=0," ",(IF(AI82&gt;20,(AE82-U82)/U82," ")))</f>
        <v xml:space="preserve"> </v>
      </c>
      <c r="AI82" s="247">
        <f>IF(AC82&gt;0,AVERAGE(AC82:AE82),"  ")</f>
        <v>2</v>
      </c>
      <c r="AJ82" s="90"/>
      <c r="AK82" s="90"/>
      <c r="AL82" s="95"/>
      <c r="AM82" s="95"/>
      <c r="AN82" s="95"/>
      <c r="AO82" s="95"/>
      <c r="AP82" s="95"/>
      <c r="AQ82" s="95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</row>
    <row r="83" spans="1:178" ht="12" x14ac:dyDescent="0.2">
      <c r="A83" s="518" t="s">
        <v>158</v>
      </c>
      <c r="B83" s="77"/>
      <c r="C83" s="77"/>
      <c r="D83" s="77"/>
      <c r="E83" s="77"/>
      <c r="F83" s="77"/>
      <c r="G83" s="519"/>
      <c r="H83" s="7"/>
      <c r="I83" s="7">
        <v>7</v>
      </c>
      <c r="J83" s="520">
        <v>5</v>
      </c>
      <c r="K83" s="520">
        <v>9</v>
      </c>
      <c r="L83" s="521">
        <v>4</v>
      </c>
      <c r="M83" s="520">
        <v>12</v>
      </c>
      <c r="N83" s="7">
        <v>8</v>
      </c>
      <c r="O83" s="267">
        <v>11</v>
      </c>
      <c r="P83" s="267">
        <v>7</v>
      </c>
      <c r="Q83" s="522">
        <v>20</v>
      </c>
      <c r="R83" s="522">
        <v>22</v>
      </c>
      <c r="S83" s="353">
        <v>14</v>
      </c>
      <c r="T83" s="522">
        <v>25</v>
      </c>
      <c r="U83" s="522">
        <v>24</v>
      </c>
      <c r="V83" s="523">
        <v>18</v>
      </c>
      <c r="W83" s="521">
        <v>27</v>
      </c>
      <c r="X83" s="7">
        <v>20</v>
      </c>
      <c r="Y83" s="7">
        <v>4</v>
      </c>
      <c r="Z83" s="521">
        <v>16</v>
      </c>
      <c r="AA83" s="521">
        <v>12</v>
      </c>
      <c r="AB83" s="521">
        <v>13</v>
      </c>
      <c r="AC83" s="521">
        <v>13</v>
      </c>
      <c r="AD83" s="521">
        <v>11</v>
      </c>
      <c r="AE83" s="524">
        <v>12</v>
      </c>
      <c r="AF83" s="80" t="str">
        <f t="shared" ref="AF83:AF84" si="34">IF(AE83=0," ",IF(AI83&gt;20,(AE83-AD83)/AD83," "))</f>
        <v xml:space="preserve"> </v>
      </c>
      <c r="AG83" s="197" t="str">
        <f t="shared" ref="AG83:AG84" si="35">IF(AE83=0," ",IF(AI83&gt;20,(AE83-Z83)/Z83," "))</f>
        <v xml:space="preserve"> </v>
      </c>
      <c r="AH83" s="198" t="str">
        <f t="shared" ref="AH83:AH84" si="36">IF(AE83=0," ",(IF(AI83&gt;20,(AE83-U83)/U83," ")))</f>
        <v xml:space="preserve"> </v>
      </c>
      <c r="AI83" s="246">
        <f t="shared" ref="AI83:AI84" si="37">IF(AC83&gt;0,AVERAGE(AC83:AE83),"  ")</f>
        <v>12</v>
      </c>
      <c r="AJ83" s="90"/>
      <c r="AK83" s="90"/>
      <c r="AL83" s="95"/>
      <c r="AM83" s="95"/>
      <c r="AN83" s="95"/>
      <c r="AO83" s="95"/>
      <c r="AP83" s="95"/>
      <c r="AQ83" s="95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</row>
    <row r="84" spans="1:178" ht="12" x14ac:dyDescent="0.2">
      <c r="A84" s="510" t="s">
        <v>71</v>
      </c>
      <c r="B84" s="511">
        <f t="shared" ref="B84:AE84" si="38">+B82+B83</f>
        <v>0</v>
      </c>
      <c r="C84" s="511">
        <f t="shared" si="38"/>
        <v>0</v>
      </c>
      <c r="D84" s="511">
        <f t="shared" si="38"/>
        <v>0</v>
      </c>
      <c r="E84" s="511">
        <f t="shared" si="38"/>
        <v>0</v>
      </c>
      <c r="F84" s="511">
        <f t="shared" si="38"/>
        <v>0</v>
      </c>
      <c r="G84" s="511">
        <f t="shared" si="38"/>
        <v>0</v>
      </c>
      <c r="H84" s="511">
        <f t="shared" si="38"/>
        <v>0</v>
      </c>
      <c r="I84" s="511">
        <f t="shared" si="38"/>
        <v>7</v>
      </c>
      <c r="J84" s="511">
        <f t="shared" si="38"/>
        <v>5</v>
      </c>
      <c r="K84" s="511">
        <f t="shared" si="38"/>
        <v>9</v>
      </c>
      <c r="L84" s="511">
        <f t="shared" si="38"/>
        <v>4</v>
      </c>
      <c r="M84" s="511">
        <f t="shared" si="38"/>
        <v>12</v>
      </c>
      <c r="N84" s="511">
        <f t="shared" si="38"/>
        <v>8</v>
      </c>
      <c r="O84" s="512">
        <f t="shared" si="38"/>
        <v>11</v>
      </c>
      <c r="P84" s="512">
        <f t="shared" si="38"/>
        <v>7</v>
      </c>
      <c r="Q84" s="513">
        <f t="shared" si="38"/>
        <v>20</v>
      </c>
      <c r="R84" s="513">
        <f t="shared" si="38"/>
        <v>22</v>
      </c>
      <c r="S84" s="513">
        <f t="shared" si="38"/>
        <v>14</v>
      </c>
      <c r="T84" s="513">
        <f t="shared" si="38"/>
        <v>25</v>
      </c>
      <c r="U84" s="513">
        <f t="shared" si="38"/>
        <v>24</v>
      </c>
      <c r="V84" s="514">
        <f t="shared" si="38"/>
        <v>18</v>
      </c>
      <c r="W84" s="511">
        <f t="shared" si="38"/>
        <v>27</v>
      </c>
      <c r="X84" s="511">
        <f t="shared" si="38"/>
        <v>20</v>
      </c>
      <c r="Y84" s="511">
        <f t="shared" si="38"/>
        <v>7</v>
      </c>
      <c r="Z84" s="511">
        <f t="shared" si="38"/>
        <v>19</v>
      </c>
      <c r="AA84" s="511">
        <f t="shared" si="38"/>
        <v>21</v>
      </c>
      <c r="AB84" s="511">
        <f t="shared" si="38"/>
        <v>15</v>
      </c>
      <c r="AC84" s="511">
        <f t="shared" si="38"/>
        <v>19</v>
      </c>
      <c r="AD84" s="511">
        <f t="shared" si="38"/>
        <v>11</v>
      </c>
      <c r="AE84" s="515">
        <f t="shared" si="38"/>
        <v>12</v>
      </c>
      <c r="AF84" s="516" t="str">
        <f t="shared" si="34"/>
        <v xml:space="preserve"> </v>
      </c>
      <c r="AG84" s="516" t="str">
        <f t="shared" si="35"/>
        <v xml:space="preserve"> </v>
      </c>
      <c r="AH84" s="517" t="str">
        <f t="shared" si="36"/>
        <v xml:space="preserve"> </v>
      </c>
      <c r="AI84" s="511">
        <f t="shared" si="37"/>
        <v>14</v>
      </c>
      <c r="AJ84" s="90"/>
      <c r="AK84" s="90"/>
      <c r="AL84" s="95"/>
      <c r="AM84" s="95"/>
      <c r="AN84" s="95"/>
      <c r="AO84" s="95"/>
      <c r="AP84" s="95"/>
      <c r="AQ84" s="95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</row>
    <row r="85" spans="1:178" ht="12" x14ac:dyDescent="0.2">
      <c r="A85" s="616" t="s">
        <v>72</v>
      </c>
      <c r="B85" s="617"/>
      <c r="C85" s="617"/>
      <c r="D85" s="617"/>
      <c r="E85" s="617"/>
      <c r="F85" s="617"/>
      <c r="G85" s="617"/>
      <c r="H85" s="617"/>
      <c r="I85" s="617"/>
      <c r="J85" s="617"/>
      <c r="K85" s="617"/>
      <c r="L85" s="617"/>
      <c r="M85" s="617"/>
      <c r="N85" s="617"/>
      <c r="O85" s="617"/>
      <c r="P85" s="617"/>
      <c r="Q85" s="617"/>
      <c r="R85" s="617"/>
      <c r="S85" s="617"/>
      <c r="T85" s="617"/>
      <c r="U85" s="617"/>
      <c r="V85" s="617"/>
      <c r="W85" s="617"/>
      <c r="X85" s="617"/>
      <c r="Y85" s="617"/>
      <c r="Z85" s="617"/>
      <c r="AA85" s="617"/>
      <c r="AB85" s="617"/>
      <c r="AC85" s="617"/>
      <c r="AD85" s="617"/>
      <c r="AE85" s="617"/>
      <c r="AF85" s="617"/>
      <c r="AG85" s="617"/>
      <c r="AH85" s="617"/>
      <c r="AI85" s="618"/>
      <c r="AJ85" s="90"/>
      <c r="AK85" s="90"/>
      <c r="AL85" s="95"/>
      <c r="AM85" s="95"/>
      <c r="AN85" s="95"/>
      <c r="AO85" s="95"/>
      <c r="AP85" s="95"/>
      <c r="AQ85" s="95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</row>
    <row r="86" spans="1:178" ht="12" x14ac:dyDescent="0.2">
      <c r="A86" s="400" t="s">
        <v>162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34"/>
      <c r="N86" s="134"/>
      <c r="O86" s="295"/>
      <c r="P86" s="295"/>
      <c r="Q86" s="336"/>
      <c r="R86" s="336">
        <v>0</v>
      </c>
      <c r="S86" s="336"/>
      <c r="T86" s="336">
        <v>0</v>
      </c>
      <c r="U86" s="336">
        <v>0</v>
      </c>
      <c r="V86" s="188">
        <v>8</v>
      </c>
      <c r="W86" s="134">
        <v>0</v>
      </c>
      <c r="X86" s="93">
        <v>1</v>
      </c>
      <c r="Y86" s="93">
        <v>7</v>
      </c>
      <c r="Z86" s="134">
        <v>7</v>
      </c>
      <c r="AA86" s="134">
        <v>9</v>
      </c>
      <c r="AB86" s="134">
        <v>5</v>
      </c>
      <c r="AC86" s="134">
        <v>14</v>
      </c>
      <c r="AD86" s="134">
        <v>8</v>
      </c>
      <c r="AE86" s="145">
        <v>4</v>
      </c>
      <c r="AF86" s="345" t="str">
        <f>IF(AE86=0," ",IF(AI86&gt;20,(AE86-AD86)/AD86," "))</f>
        <v xml:space="preserve"> </v>
      </c>
      <c r="AG86" s="346" t="str">
        <f>IF(AE86=0," ",IF(AI86&gt;20,(AE86-Z86)/Z86," "))</f>
        <v xml:space="preserve"> </v>
      </c>
      <c r="AH86" s="347" t="str">
        <f>IF(AE86=0," ",(IF(AI86&gt;20,(AE86-U86)/U86," ")))</f>
        <v xml:space="preserve"> </v>
      </c>
      <c r="AI86" s="247">
        <f>IF(AC86&gt;0,AVERAGE(AC86:AE86),"  ")</f>
        <v>8.6666666666666661</v>
      </c>
      <c r="AJ86" s="90"/>
      <c r="AK86" s="90"/>
      <c r="AL86" s="95"/>
      <c r="AM86" s="95"/>
      <c r="AN86" s="95"/>
      <c r="AO86" s="95"/>
      <c r="AP86" s="95"/>
      <c r="AQ86" s="95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</row>
    <row r="87" spans="1:178" ht="12" x14ac:dyDescent="0.2">
      <c r="A87" s="436" t="s">
        <v>160</v>
      </c>
      <c r="B87" s="260"/>
      <c r="C87" s="260"/>
      <c r="D87" s="260"/>
      <c r="E87" s="260"/>
      <c r="F87" s="260"/>
      <c r="G87" s="260"/>
      <c r="H87" s="260"/>
      <c r="I87" s="260"/>
      <c r="J87" s="260"/>
      <c r="K87" s="260"/>
      <c r="L87" s="260"/>
      <c r="M87" s="261"/>
      <c r="N87" s="261"/>
      <c r="O87" s="287"/>
      <c r="P87" s="287"/>
      <c r="Q87" s="332"/>
      <c r="R87" s="332"/>
      <c r="S87" s="332"/>
      <c r="T87" s="332"/>
      <c r="U87" s="332">
        <v>0</v>
      </c>
      <c r="V87" s="262"/>
      <c r="W87" s="261"/>
      <c r="X87" s="263"/>
      <c r="Y87" s="263"/>
      <c r="Z87" s="261">
        <v>0</v>
      </c>
      <c r="AA87" s="261">
        <v>0</v>
      </c>
      <c r="AB87" s="261">
        <v>0</v>
      </c>
      <c r="AC87" s="261">
        <v>0</v>
      </c>
      <c r="AD87" s="261">
        <v>0</v>
      </c>
      <c r="AE87" s="256">
        <v>1</v>
      </c>
      <c r="AF87" s="76"/>
      <c r="AG87" s="193"/>
      <c r="AH87" s="194"/>
      <c r="AI87" s="125"/>
      <c r="AJ87" s="90"/>
      <c r="AK87" s="90"/>
      <c r="AL87" s="95"/>
      <c r="AM87" s="95"/>
      <c r="AN87" s="95"/>
      <c r="AO87" s="95"/>
      <c r="AP87" s="95"/>
      <c r="AQ87" s="95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</row>
    <row r="88" spans="1:178" s="438" customFormat="1" ht="12" x14ac:dyDescent="0.2">
      <c r="A88" s="436" t="s">
        <v>159</v>
      </c>
      <c r="B88" s="260"/>
      <c r="C88" s="260"/>
      <c r="D88" s="260"/>
      <c r="E88" s="260"/>
      <c r="F88" s="260"/>
      <c r="G88" s="260"/>
      <c r="H88" s="260"/>
      <c r="I88" s="260"/>
      <c r="J88" s="260"/>
      <c r="K88" s="260"/>
      <c r="L88" s="260"/>
      <c r="M88" s="261"/>
      <c r="N88" s="261"/>
      <c r="O88" s="287"/>
      <c r="P88" s="287"/>
      <c r="Q88" s="332"/>
      <c r="R88" s="332">
        <v>0</v>
      </c>
      <c r="S88" s="332"/>
      <c r="T88" s="332">
        <v>0</v>
      </c>
      <c r="U88" s="332">
        <v>5</v>
      </c>
      <c r="V88" s="262">
        <v>0</v>
      </c>
      <c r="W88" s="261">
        <v>0</v>
      </c>
      <c r="X88" s="263">
        <v>0</v>
      </c>
      <c r="Y88" s="263">
        <v>7</v>
      </c>
      <c r="Z88" s="261">
        <v>0</v>
      </c>
      <c r="AA88" s="261">
        <v>0</v>
      </c>
      <c r="AB88" s="261">
        <v>0</v>
      </c>
      <c r="AC88" s="261">
        <v>0</v>
      </c>
      <c r="AD88" s="261">
        <v>0</v>
      </c>
      <c r="AE88" s="256">
        <v>0</v>
      </c>
      <c r="AF88" s="76" t="str">
        <f t="shared" ref="AF88:AF95" si="39">IF(AE88=0," ",IF(AI88&gt;20,(AE88-AD88)/AD88," "))</f>
        <v xml:space="preserve"> </v>
      </c>
      <c r="AG88" s="193" t="str">
        <f t="shared" ref="AG88:AG95" si="40">IF(AE88=0," ",IF(AI88&gt;20,(AE88-Z88)/Z88," "))</f>
        <v xml:space="preserve"> </v>
      </c>
      <c r="AH88" s="194" t="str">
        <f t="shared" ref="AH88:AH95" si="41">IF(AE88=0," ",(IF(AI88&gt;20,(AE88-U88)/U88," ")))</f>
        <v xml:space="preserve"> </v>
      </c>
      <c r="AI88" s="125" t="str">
        <f t="shared" ref="AI88:AI95" si="42">IF(AC88&gt;0,AVERAGE(AC88:AE88),"  ")</f>
        <v xml:space="preserve">  </v>
      </c>
      <c r="AJ88" s="437"/>
      <c r="AK88" s="437"/>
      <c r="AL88" s="437"/>
      <c r="AM88" s="437"/>
      <c r="AN88" s="437"/>
      <c r="AO88" s="437"/>
      <c r="AP88" s="437"/>
      <c r="AQ88" s="437"/>
    </row>
    <row r="89" spans="1:178" ht="12" x14ac:dyDescent="0.2">
      <c r="A89" s="518" t="s">
        <v>161</v>
      </c>
      <c r="B89" s="77">
        <v>10</v>
      </c>
      <c r="C89" s="554">
        <v>5</v>
      </c>
      <c r="D89" s="77">
        <v>10</v>
      </c>
      <c r="E89" s="77">
        <v>7</v>
      </c>
      <c r="F89" s="77">
        <v>11</v>
      </c>
      <c r="G89" s="77">
        <v>13</v>
      </c>
      <c r="H89" s="7">
        <v>8</v>
      </c>
      <c r="I89" s="7">
        <v>5</v>
      </c>
      <c r="J89" s="78">
        <v>6</v>
      </c>
      <c r="K89" s="77">
        <f>1+5</f>
        <v>6</v>
      </c>
      <c r="L89" s="77">
        <v>7</v>
      </c>
      <c r="M89" s="77">
        <v>7</v>
      </c>
      <c r="N89" s="7">
        <v>2</v>
      </c>
      <c r="O89" s="267">
        <v>8</v>
      </c>
      <c r="P89" s="267">
        <v>4</v>
      </c>
      <c r="Q89" s="319">
        <v>4</v>
      </c>
      <c r="R89" s="319">
        <v>14</v>
      </c>
      <c r="S89" s="353">
        <v>8</v>
      </c>
      <c r="T89" s="319">
        <v>17</v>
      </c>
      <c r="U89" s="319">
        <v>6</v>
      </c>
      <c r="V89" s="277">
        <v>6</v>
      </c>
      <c r="W89" s="78">
        <v>3</v>
      </c>
      <c r="X89" s="7">
        <v>1</v>
      </c>
      <c r="Y89" s="7">
        <v>2</v>
      </c>
      <c r="Z89" s="78">
        <v>0</v>
      </c>
      <c r="AA89" s="78">
        <v>0</v>
      </c>
      <c r="AB89" s="78">
        <v>1</v>
      </c>
      <c r="AC89" s="78">
        <v>0</v>
      </c>
      <c r="AD89" s="78">
        <v>2</v>
      </c>
      <c r="AE89" s="79">
        <v>1</v>
      </c>
      <c r="AF89" s="80">
        <f t="shared" si="39"/>
        <v>-0.5</v>
      </c>
      <c r="AG89" s="197"/>
      <c r="AH89" s="198">
        <f t="shared" si="41"/>
        <v>-0.83333333333333337</v>
      </c>
      <c r="AI89" s="246" t="str">
        <f t="shared" si="42"/>
        <v xml:space="preserve">  </v>
      </c>
      <c r="AJ89" s="90"/>
      <c r="AK89" s="90"/>
      <c r="AL89" s="95"/>
      <c r="AM89" s="95"/>
      <c r="AN89" s="95"/>
      <c r="AO89" s="95"/>
      <c r="AP89" s="95"/>
      <c r="AQ89" s="95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</row>
    <row r="90" spans="1:178" ht="12" x14ac:dyDescent="0.2">
      <c r="A90" s="510" t="s">
        <v>85</v>
      </c>
      <c r="B90" s="511">
        <f t="shared" ref="B90:T90" si="43">+B86+B89+B88</f>
        <v>10</v>
      </c>
      <c r="C90" s="511">
        <f t="shared" si="43"/>
        <v>5</v>
      </c>
      <c r="D90" s="511">
        <f t="shared" si="43"/>
        <v>10</v>
      </c>
      <c r="E90" s="511">
        <f t="shared" si="43"/>
        <v>7</v>
      </c>
      <c r="F90" s="511">
        <f t="shared" si="43"/>
        <v>11</v>
      </c>
      <c r="G90" s="511">
        <f t="shared" si="43"/>
        <v>13</v>
      </c>
      <c r="H90" s="511">
        <f t="shared" si="43"/>
        <v>8</v>
      </c>
      <c r="I90" s="511">
        <f t="shared" si="43"/>
        <v>5</v>
      </c>
      <c r="J90" s="511">
        <f t="shared" si="43"/>
        <v>6</v>
      </c>
      <c r="K90" s="511">
        <f t="shared" si="43"/>
        <v>6</v>
      </c>
      <c r="L90" s="511">
        <f t="shared" si="43"/>
        <v>7</v>
      </c>
      <c r="M90" s="511">
        <f t="shared" si="43"/>
        <v>7</v>
      </c>
      <c r="N90" s="511">
        <f t="shared" si="43"/>
        <v>2</v>
      </c>
      <c r="O90" s="512">
        <f t="shared" si="43"/>
        <v>8</v>
      </c>
      <c r="P90" s="512">
        <f t="shared" si="43"/>
        <v>4</v>
      </c>
      <c r="Q90" s="513">
        <f t="shared" si="43"/>
        <v>4</v>
      </c>
      <c r="R90" s="513">
        <f t="shared" si="43"/>
        <v>14</v>
      </c>
      <c r="S90" s="513">
        <f t="shared" si="43"/>
        <v>8</v>
      </c>
      <c r="T90" s="513">
        <f t="shared" si="43"/>
        <v>17</v>
      </c>
      <c r="U90" s="513">
        <f>SUM(U86:U89)</f>
        <v>11</v>
      </c>
      <c r="V90" s="514">
        <f t="shared" ref="V90:AE90" si="44">SUM(V86:V89)</f>
        <v>14</v>
      </c>
      <c r="W90" s="511">
        <f t="shared" si="44"/>
        <v>3</v>
      </c>
      <c r="X90" s="511">
        <f t="shared" si="44"/>
        <v>2</v>
      </c>
      <c r="Y90" s="511">
        <f t="shared" si="44"/>
        <v>16</v>
      </c>
      <c r="Z90" s="511">
        <f t="shared" si="44"/>
        <v>7</v>
      </c>
      <c r="AA90" s="511">
        <f t="shared" si="44"/>
        <v>9</v>
      </c>
      <c r="AB90" s="511">
        <f t="shared" si="44"/>
        <v>6</v>
      </c>
      <c r="AC90" s="511">
        <f t="shared" si="44"/>
        <v>14</v>
      </c>
      <c r="AD90" s="511">
        <f t="shared" si="44"/>
        <v>10</v>
      </c>
      <c r="AE90" s="515">
        <f t="shared" si="44"/>
        <v>6</v>
      </c>
      <c r="AF90" s="561" t="str">
        <f t="shared" si="39"/>
        <v xml:space="preserve"> </v>
      </c>
      <c r="AG90" s="561" t="str">
        <f t="shared" si="40"/>
        <v xml:space="preserve"> </v>
      </c>
      <c r="AH90" s="561" t="str">
        <f t="shared" si="41"/>
        <v xml:space="preserve"> </v>
      </c>
      <c r="AI90" s="511">
        <f t="shared" si="42"/>
        <v>10</v>
      </c>
      <c r="AJ90" s="90"/>
      <c r="AK90" s="90"/>
      <c r="AL90" s="95"/>
      <c r="AM90" s="95"/>
      <c r="AN90" s="95"/>
      <c r="AO90" s="95"/>
      <c r="AP90" s="95"/>
      <c r="AQ90" s="95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</row>
    <row r="91" spans="1:178" ht="12" x14ac:dyDescent="0.2">
      <c r="A91" s="616" t="s">
        <v>163</v>
      </c>
      <c r="B91" s="617"/>
      <c r="C91" s="617"/>
      <c r="D91" s="617"/>
      <c r="E91" s="617"/>
      <c r="F91" s="617"/>
      <c r="G91" s="617"/>
      <c r="H91" s="617"/>
      <c r="I91" s="617"/>
      <c r="J91" s="617"/>
      <c r="K91" s="617"/>
      <c r="L91" s="617"/>
      <c r="M91" s="617"/>
      <c r="N91" s="617"/>
      <c r="O91" s="617"/>
      <c r="P91" s="617"/>
      <c r="Q91" s="617"/>
      <c r="R91" s="617"/>
      <c r="S91" s="617"/>
      <c r="T91" s="617"/>
      <c r="U91" s="617"/>
      <c r="V91" s="617"/>
      <c r="W91" s="617"/>
      <c r="X91" s="617"/>
      <c r="Y91" s="617"/>
      <c r="Z91" s="617"/>
      <c r="AA91" s="617"/>
      <c r="AB91" s="617"/>
      <c r="AC91" s="617"/>
      <c r="AD91" s="617"/>
      <c r="AE91" s="617"/>
      <c r="AF91" s="617"/>
      <c r="AG91" s="617"/>
      <c r="AH91" s="617"/>
      <c r="AI91" s="618"/>
      <c r="AJ91" s="90"/>
      <c r="AK91" s="90"/>
      <c r="AL91" s="95"/>
      <c r="AM91" s="95"/>
      <c r="AN91" s="95"/>
      <c r="AO91" s="95"/>
      <c r="AP91" s="95"/>
      <c r="AQ91" s="95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</row>
    <row r="92" spans="1:178" ht="12" x14ac:dyDescent="0.2">
      <c r="A92" s="507" t="s">
        <v>145</v>
      </c>
      <c r="B92" s="526"/>
      <c r="C92" s="526"/>
      <c r="D92" s="526"/>
      <c r="E92" s="526"/>
      <c r="F92" s="526"/>
      <c r="G92" s="526"/>
      <c r="H92" s="526"/>
      <c r="I92" s="526"/>
      <c r="J92" s="526"/>
      <c r="K92" s="526"/>
      <c r="L92" s="526"/>
      <c r="M92" s="526"/>
      <c r="N92" s="526"/>
      <c r="O92" s="527"/>
      <c r="P92" s="527"/>
      <c r="Q92" s="528"/>
      <c r="R92" s="528"/>
      <c r="S92" s="528"/>
      <c r="T92" s="528"/>
      <c r="U92" s="529"/>
      <c r="V92" s="530"/>
      <c r="W92" s="531"/>
      <c r="X92" s="531"/>
      <c r="Y92" s="531"/>
      <c r="Z92" s="531"/>
      <c r="AA92" s="531"/>
      <c r="AB92" s="531"/>
      <c r="AC92" s="531"/>
      <c r="AD92" s="531"/>
      <c r="AE92" s="532"/>
      <c r="AF92" s="345" t="str">
        <f>IF(AE92=0," ",IF(AI92&gt;20,(AE92-AD92)/AD92," "))</f>
        <v xml:space="preserve"> </v>
      </c>
      <c r="AG92" s="346" t="str">
        <f>IF(AE92=0," ",IF(AI92&gt;20,(AE92-Z92)/Z92," "))</f>
        <v xml:space="preserve"> </v>
      </c>
      <c r="AH92" s="347" t="str">
        <f>IF(AE92=0," ",(IF(AI92&gt;20,(AE92-U92)/U92," ")))</f>
        <v xml:space="preserve"> </v>
      </c>
      <c r="AI92" s="247" t="str">
        <f>IF(AC92&gt;0,AVERAGE(AC92:AE92),"  ")</f>
        <v xml:space="preserve">  </v>
      </c>
      <c r="AJ92" s="90"/>
      <c r="AK92" s="90"/>
      <c r="AL92" s="95"/>
      <c r="AM92" s="95"/>
      <c r="AN92" s="95"/>
      <c r="AO92" s="95"/>
      <c r="AP92" s="95"/>
      <c r="AQ92" s="95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</row>
    <row r="93" spans="1:178" ht="12" x14ac:dyDescent="0.2">
      <c r="A93" s="508" t="s">
        <v>144</v>
      </c>
      <c r="B93" s="378"/>
      <c r="C93" s="378"/>
      <c r="D93" s="378"/>
      <c r="E93" s="378"/>
      <c r="F93" s="378"/>
      <c r="G93" s="378"/>
      <c r="H93" s="378"/>
      <c r="I93" s="378"/>
      <c r="J93" s="378"/>
      <c r="K93" s="378"/>
      <c r="L93" s="378"/>
      <c r="M93" s="378"/>
      <c r="N93" s="378"/>
      <c r="O93" s="533"/>
      <c r="P93" s="533"/>
      <c r="Q93" s="534"/>
      <c r="R93" s="534"/>
      <c r="S93" s="534"/>
      <c r="T93" s="534"/>
      <c r="U93" s="535"/>
      <c r="V93" s="536"/>
      <c r="W93" s="379"/>
      <c r="X93" s="379"/>
      <c r="Y93" s="379"/>
      <c r="Z93" s="379"/>
      <c r="AA93" s="379"/>
      <c r="AB93" s="379"/>
      <c r="AC93" s="379"/>
      <c r="AD93" s="379"/>
      <c r="AE93" s="537"/>
      <c r="AF93" s="80"/>
      <c r="AG93" s="197"/>
      <c r="AH93" s="198"/>
      <c r="AI93" s="246"/>
      <c r="AJ93" s="90"/>
      <c r="AK93" s="90"/>
      <c r="AL93" s="95"/>
      <c r="AM93" s="95"/>
      <c r="AN93" s="95"/>
      <c r="AO93" s="95"/>
      <c r="AP93" s="95"/>
      <c r="AQ93" s="95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</row>
    <row r="94" spans="1:178" ht="12" x14ac:dyDescent="0.2">
      <c r="A94" s="506" t="s">
        <v>164</v>
      </c>
      <c r="B94" s="120">
        <v>0</v>
      </c>
      <c r="C94" s="120">
        <v>0</v>
      </c>
      <c r="D94" s="120">
        <v>4</v>
      </c>
      <c r="E94" s="120">
        <v>0</v>
      </c>
      <c r="F94" s="120">
        <v>0</v>
      </c>
      <c r="G94" s="120">
        <v>0</v>
      </c>
      <c r="H94" s="121">
        <v>0</v>
      </c>
      <c r="I94" s="121">
        <v>0</v>
      </c>
      <c r="J94" s="120">
        <v>19</v>
      </c>
      <c r="K94" s="120">
        <v>29</v>
      </c>
      <c r="L94" s="120">
        <v>31</v>
      </c>
      <c r="M94" s="120">
        <v>45</v>
      </c>
      <c r="N94" s="121">
        <v>27</v>
      </c>
      <c r="O94" s="270">
        <v>39</v>
      </c>
      <c r="P94" s="270">
        <v>46</v>
      </c>
      <c r="Q94" s="322">
        <v>62</v>
      </c>
      <c r="R94" s="322">
        <v>54</v>
      </c>
      <c r="S94" s="355">
        <v>72</v>
      </c>
      <c r="T94" s="322">
        <v>73</v>
      </c>
      <c r="U94" s="322">
        <v>79</v>
      </c>
      <c r="V94" s="279">
        <v>71</v>
      </c>
      <c r="W94" s="120">
        <v>119</v>
      </c>
      <c r="X94" s="121">
        <v>126</v>
      </c>
      <c r="Y94" s="121">
        <v>160</v>
      </c>
      <c r="Z94" s="120">
        <v>169</v>
      </c>
      <c r="AA94" s="120">
        <v>176</v>
      </c>
      <c r="AB94" s="120">
        <v>192</v>
      </c>
      <c r="AC94" s="120">
        <v>196</v>
      </c>
      <c r="AD94" s="120">
        <v>171</v>
      </c>
      <c r="AE94" s="525">
        <v>160</v>
      </c>
      <c r="AF94" s="562">
        <f t="shared" si="39"/>
        <v>-6.4327485380116955E-2</v>
      </c>
      <c r="AG94" s="562">
        <f t="shared" si="40"/>
        <v>-5.3254437869822487E-2</v>
      </c>
      <c r="AH94" s="562">
        <f t="shared" si="41"/>
        <v>1.0253164556962024</v>
      </c>
      <c r="AI94" s="120">
        <f t="shared" si="42"/>
        <v>175.66666666666666</v>
      </c>
      <c r="AJ94" s="90"/>
      <c r="AK94" s="90"/>
      <c r="AL94" s="95"/>
      <c r="AM94" s="95"/>
      <c r="AN94" s="95"/>
      <c r="AO94" s="95"/>
      <c r="AP94" s="95"/>
      <c r="AQ94" s="95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</row>
    <row r="95" spans="1:178" ht="12.75" thickBot="1" x14ac:dyDescent="0.25">
      <c r="A95" s="439" t="s">
        <v>73</v>
      </c>
      <c r="B95" s="128">
        <f t="shared" ref="B95:AE95" si="45">+B94+B90+B84</f>
        <v>10</v>
      </c>
      <c r="C95" s="128">
        <f t="shared" si="45"/>
        <v>5</v>
      </c>
      <c r="D95" s="128">
        <f t="shared" si="45"/>
        <v>14</v>
      </c>
      <c r="E95" s="128">
        <f t="shared" si="45"/>
        <v>7</v>
      </c>
      <c r="F95" s="128">
        <f t="shared" si="45"/>
        <v>11</v>
      </c>
      <c r="G95" s="128">
        <f t="shared" si="45"/>
        <v>13</v>
      </c>
      <c r="H95" s="128">
        <f t="shared" si="45"/>
        <v>8</v>
      </c>
      <c r="I95" s="128">
        <f t="shared" si="45"/>
        <v>12</v>
      </c>
      <c r="J95" s="128">
        <f t="shared" si="45"/>
        <v>30</v>
      </c>
      <c r="K95" s="128">
        <f t="shared" si="45"/>
        <v>44</v>
      </c>
      <c r="L95" s="128">
        <f t="shared" si="45"/>
        <v>42</v>
      </c>
      <c r="M95" s="128">
        <f t="shared" si="45"/>
        <v>64</v>
      </c>
      <c r="N95" s="128">
        <f t="shared" si="45"/>
        <v>37</v>
      </c>
      <c r="O95" s="289">
        <f t="shared" si="45"/>
        <v>58</v>
      </c>
      <c r="P95" s="314">
        <f t="shared" si="45"/>
        <v>57</v>
      </c>
      <c r="Q95" s="333">
        <f t="shared" si="45"/>
        <v>86</v>
      </c>
      <c r="R95" s="333">
        <f t="shared" si="45"/>
        <v>90</v>
      </c>
      <c r="S95" s="333">
        <f t="shared" si="45"/>
        <v>94</v>
      </c>
      <c r="T95" s="333">
        <f t="shared" si="45"/>
        <v>115</v>
      </c>
      <c r="U95" s="381">
        <f t="shared" si="45"/>
        <v>114</v>
      </c>
      <c r="V95" s="185">
        <f t="shared" si="45"/>
        <v>103</v>
      </c>
      <c r="W95" s="128">
        <f t="shared" si="45"/>
        <v>149</v>
      </c>
      <c r="X95" s="128">
        <f t="shared" si="45"/>
        <v>148</v>
      </c>
      <c r="Y95" s="128">
        <f t="shared" si="45"/>
        <v>183</v>
      </c>
      <c r="Z95" s="128">
        <f t="shared" si="45"/>
        <v>195</v>
      </c>
      <c r="AA95" s="128">
        <f t="shared" si="45"/>
        <v>206</v>
      </c>
      <c r="AB95" s="128">
        <f t="shared" si="45"/>
        <v>213</v>
      </c>
      <c r="AC95" s="128">
        <f t="shared" si="45"/>
        <v>229</v>
      </c>
      <c r="AD95" s="128">
        <f t="shared" si="45"/>
        <v>192</v>
      </c>
      <c r="AE95" s="128">
        <f t="shared" si="45"/>
        <v>178</v>
      </c>
      <c r="AF95" s="239">
        <f t="shared" si="39"/>
        <v>-7.2916666666666671E-2</v>
      </c>
      <c r="AG95" s="239">
        <f t="shared" si="40"/>
        <v>-8.7179487179487175E-2</v>
      </c>
      <c r="AH95" s="239">
        <f t="shared" si="41"/>
        <v>0.56140350877192979</v>
      </c>
      <c r="AI95" s="128">
        <f t="shared" si="42"/>
        <v>199.66666666666666</v>
      </c>
      <c r="AJ95" s="90"/>
      <c r="AK95" s="90"/>
      <c r="AL95" s="95"/>
      <c r="AM95" s="95"/>
      <c r="AN95" s="95"/>
      <c r="AO95" s="95"/>
      <c r="AP95" s="95"/>
      <c r="AQ95" s="95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</row>
    <row r="96" spans="1:178" ht="13.5" thickTop="1" x14ac:dyDescent="0.2">
      <c r="A96" s="440" t="s">
        <v>74</v>
      </c>
      <c r="B96" s="10"/>
      <c r="C96" s="10"/>
      <c r="D96" s="10"/>
      <c r="E96" s="10"/>
      <c r="F96" s="10"/>
      <c r="G96" s="11"/>
      <c r="H96" s="11"/>
      <c r="I96" s="11"/>
      <c r="J96" s="11"/>
      <c r="K96" s="10"/>
      <c r="L96" s="10"/>
      <c r="M96" s="10"/>
      <c r="N96" s="10"/>
      <c r="O96" s="12"/>
      <c r="P96" s="12"/>
      <c r="Q96" s="12"/>
      <c r="R96" s="12"/>
      <c r="S96" s="12"/>
      <c r="T96" s="13"/>
      <c r="U96" s="13"/>
      <c r="V96" s="13"/>
      <c r="W96" s="13"/>
      <c r="X96" s="13"/>
      <c r="Y96" s="13"/>
      <c r="Z96" s="14"/>
      <c r="AA96" s="14"/>
      <c r="AB96" s="14"/>
      <c r="AC96" s="14"/>
      <c r="AD96" s="14"/>
      <c r="AE96" s="14"/>
      <c r="AF96" s="237"/>
      <c r="AG96" s="238"/>
      <c r="AH96" s="237"/>
      <c r="AI96" s="15"/>
      <c r="AJ96" s="90"/>
      <c r="AK96" s="90"/>
      <c r="AL96" s="95"/>
      <c r="AM96" s="95"/>
      <c r="AN96" s="95"/>
      <c r="AO96" s="95"/>
      <c r="AP96" s="95"/>
      <c r="AQ96" s="95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</row>
    <row r="97" spans="1:178" ht="12" x14ac:dyDescent="0.2">
      <c r="A97" s="441" t="s">
        <v>107</v>
      </c>
      <c r="B97" s="162"/>
      <c r="C97" s="168"/>
      <c r="D97" s="168"/>
      <c r="E97" s="168"/>
      <c r="F97" s="168"/>
      <c r="G97" s="168"/>
      <c r="H97" s="169">
        <v>0</v>
      </c>
      <c r="I97" s="169"/>
      <c r="J97" s="170"/>
      <c r="K97" s="168"/>
      <c r="L97" s="168">
        <v>0</v>
      </c>
      <c r="M97" s="168"/>
      <c r="N97" s="169">
        <v>0</v>
      </c>
      <c r="O97" s="290">
        <v>0</v>
      </c>
      <c r="P97" s="315">
        <v>0</v>
      </c>
      <c r="Q97" s="334">
        <v>0</v>
      </c>
      <c r="R97" s="334">
        <v>15</v>
      </c>
      <c r="S97" s="359">
        <v>15</v>
      </c>
      <c r="T97" s="334">
        <v>12</v>
      </c>
      <c r="U97" s="334">
        <v>13</v>
      </c>
      <c r="V97" s="366">
        <v>19</v>
      </c>
      <c r="W97" s="164">
        <v>18</v>
      </c>
      <c r="X97" s="163">
        <v>18</v>
      </c>
      <c r="Y97" s="163">
        <v>18</v>
      </c>
      <c r="Z97" s="313">
        <v>19</v>
      </c>
      <c r="AA97" s="313">
        <v>10</v>
      </c>
      <c r="AB97" s="313">
        <v>21</v>
      </c>
      <c r="AC97" s="313">
        <v>10</v>
      </c>
      <c r="AD97" s="313">
        <v>6</v>
      </c>
      <c r="AE97" s="84">
        <v>8</v>
      </c>
      <c r="AF97" s="226" t="str">
        <f t="shared" ref="AF97:AF101" si="46">IF(AE97=0," ",IF(AI97&gt;20,(AE97-AD97)/AD97," "))</f>
        <v xml:space="preserve"> </v>
      </c>
      <c r="AG97" s="227" t="str">
        <f t="shared" ref="AG97:AG101" si="47">IF(AE97=0," ",IF(AI97&gt;20,(AE97-Z97)/Z97," "))</f>
        <v xml:space="preserve"> </v>
      </c>
      <c r="AH97" s="228" t="str">
        <f t="shared" ref="AH97:AH101" si="48">IF(AE97=0," ",(IF(AI97&gt;20,(AE97-U97)/U97," ")))</f>
        <v xml:space="preserve"> </v>
      </c>
      <c r="AI97" s="245">
        <f t="shared" ref="AI97:AI101" si="49">IF(AC97&gt;0,AVERAGE(AC97:AE97),"  ")</f>
        <v>8</v>
      </c>
      <c r="AJ97" s="90"/>
      <c r="AK97" s="90"/>
      <c r="AL97" s="95"/>
      <c r="AM97" s="95"/>
      <c r="AN97" s="95"/>
      <c r="AO97" s="95"/>
      <c r="AP97" s="95"/>
      <c r="AQ97" s="95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</row>
    <row r="98" spans="1:178" ht="12" x14ac:dyDescent="0.2">
      <c r="A98" s="442" t="s">
        <v>165</v>
      </c>
      <c r="B98" s="165"/>
      <c r="C98" s="171"/>
      <c r="D98" s="171"/>
      <c r="E98" s="171"/>
      <c r="F98" s="171">
        <v>0</v>
      </c>
      <c r="G98" s="171">
        <v>0</v>
      </c>
      <c r="H98" s="171"/>
      <c r="I98" s="171"/>
      <c r="J98" s="171"/>
      <c r="K98" s="171">
        <v>0</v>
      </c>
      <c r="L98" s="171">
        <v>0</v>
      </c>
      <c r="M98" s="172">
        <v>0</v>
      </c>
      <c r="N98" s="172">
        <v>0</v>
      </c>
      <c r="O98" s="291">
        <v>0</v>
      </c>
      <c r="P98" s="166">
        <v>8</v>
      </c>
      <c r="Q98" s="335">
        <v>7</v>
      </c>
      <c r="R98" s="335">
        <f>5+3</f>
        <v>8</v>
      </c>
      <c r="S98" s="335">
        <f>6+2</f>
        <v>8</v>
      </c>
      <c r="T98" s="335">
        <v>16</v>
      </c>
      <c r="U98" s="335">
        <f>6+2</f>
        <v>8</v>
      </c>
      <c r="V98" s="367">
        <v>8</v>
      </c>
      <c r="W98" s="166">
        <v>1</v>
      </c>
      <c r="X98" s="163">
        <v>5</v>
      </c>
      <c r="Y98" s="163">
        <v>14</v>
      </c>
      <c r="Z98" s="288">
        <v>10</v>
      </c>
      <c r="AA98" s="288">
        <v>10</v>
      </c>
      <c r="AB98" s="288">
        <v>3</v>
      </c>
      <c r="AC98" s="288">
        <v>11</v>
      </c>
      <c r="AD98" s="288">
        <v>0</v>
      </c>
      <c r="AE98" s="96">
        <v>0</v>
      </c>
      <c r="AF98" s="229" t="str">
        <f t="shared" si="46"/>
        <v xml:space="preserve"> </v>
      </c>
      <c r="AG98" s="230" t="str">
        <f t="shared" si="47"/>
        <v xml:space="preserve"> </v>
      </c>
      <c r="AH98" s="231" t="str">
        <f t="shared" si="48"/>
        <v xml:space="preserve"> </v>
      </c>
      <c r="AI98" s="125">
        <f t="shared" si="49"/>
        <v>3.6666666666666665</v>
      </c>
      <c r="AJ98" s="90"/>
      <c r="AK98" s="90"/>
      <c r="AL98" s="95"/>
      <c r="AM98" s="95"/>
      <c r="AN98" s="95"/>
      <c r="AO98" s="95"/>
      <c r="AP98" s="95"/>
      <c r="AQ98" s="95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</row>
    <row r="99" spans="1:178" ht="12" x14ac:dyDescent="0.2">
      <c r="A99" s="443" t="s">
        <v>86</v>
      </c>
      <c r="B99" s="162">
        <v>12</v>
      </c>
      <c r="C99" s="173">
        <v>7</v>
      </c>
      <c r="D99" s="173">
        <v>11</v>
      </c>
      <c r="E99" s="173">
        <v>13</v>
      </c>
      <c r="F99" s="173">
        <v>16</v>
      </c>
      <c r="G99" s="173">
        <v>15</v>
      </c>
      <c r="H99" s="174">
        <v>15</v>
      </c>
      <c r="I99" s="174">
        <v>23</v>
      </c>
      <c r="J99" s="175">
        <v>17</v>
      </c>
      <c r="K99" s="173">
        <v>22</v>
      </c>
      <c r="L99" s="173">
        <v>27</v>
      </c>
      <c r="M99" s="173">
        <v>20</v>
      </c>
      <c r="N99" s="174">
        <v>22</v>
      </c>
      <c r="O99" s="292">
        <v>22</v>
      </c>
      <c r="P99" s="163">
        <v>16</v>
      </c>
      <c r="Q99" s="334">
        <v>19</v>
      </c>
      <c r="R99" s="334">
        <v>18</v>
      </c>
      <c r="S99" s="359">
        <f>19+2</f>
        <v>21</v>
      </c>
      <c r="T99" s="334">
        <v>21</v>
      </c>
      <c r="U99" s="334">
        <f>19+1</f>
        <v>20</v>
      </c>
      <c r="V99" s="366">
        <v>25</v>
      </c>
      <c r="W99" s="164">
        <v>17</v>
      </c>
      <c r="X99" s="163">
        <v>26</v>
      </c>
      <c r="Y99" s="163">
        <v>22</v>
      </c>
      <c r="Z99" s="313">
        <v>14</v>
      </c>
      <c r="AA99" s="313">
        <v>18</v>
      </c>
      <c r="AB99" s="313">
        <v>18</v>
      </c>
      <c r="AC99" s="313">
        <v>25</v>
      </c>
      <c r="AD99" s="313">
        <v>7</v>
      </c>
      <c r="AE99" s="84">
        <v>3</v>
      </c>
      <c r="AF99" s="229" t="str">
        <f t="shared" si="46"/>
        <v xml:space="preserve"> </v>
      </c>
      <c r="AG99" s="230" t="str">
        <f t="shared" si="47"/>
        <v xml:space="preserve"> </v>
      </c>
      <c r="AH99" s="231" t="str">
        <f t="shared" si="48"/>
        <v xml:space="preserve"> </v>
      </c>
      <c r="AI99" s="125">
        <f t="shared" si="49"/>
        <v>11.666666666666666</v>
      </c>
      <c r="AJ99" s="90"/>
      <c r="AK99" s="90"/>
      <c r="AL99" s="95"/>
      <c r="AM99" s="95"/>
      <c r="AN99" s="95"/>
      <c r="AO99" s="95"/>
      <c r="AP99" s="95"/>
      <c r="AQ99" s="95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</row>
    <row r="100" spans="1:178" ht="12" x14ac:dyDescent="0.2">
      <c r="A100" s="443" t="s">
        <v>87</v>
      </c>
      <c r="B100" s="167">
        <v>6</v>
      </c>
      <c r="C100" s="176">
        <v>6</v>
      </c>
      <c r="D100" s="176">
        <v>2</v>
      </c>
      <c r="E100" s="176">
        <v>0</v>
      </c>
      <c r="F100" s="176">
        <v>6</v>
      </c>
      <c r="G100" s="176">
        <v>7</v>
      </c>
      <c r="H100" s="177">
        <v>8</v>
      </c>
      <c r="I100" s="177">
        <v>4</v>
      </c>
      <c r="J100" s="178">
        <v>6</v>
      </c>
      <c r="K100" s="176">
        <v>3</v>
      </c>
      <c r="L100" s="176">
        <v>6</v>
      </c>
      <c r="M100" s="176">
        <v>7</v>
      </c>
      <c r="N100" s="177">
        <v>10</v>
      </c>
      <c r="O100" s="293">
        <v>7</v>
      </c>
      <c r="P100" s="316">
        <v>9</v>
      </c>
      <c r="Q100" s="334">
        <v>3</v>
      </c>
      <c r="R100" s="334">
        <v>0</v>
      </c>
      <c r="S100" s="359">
        <v>6</v>
      </c>
      <c r="T100" s="334">
        <v>7</v>
      </c>
      <c r="U100" s="334">
        <v>9</v>
      </c>
      <c r="V100" s="366">
        <v>6</v>
      </c>
      <c r="W100" s="164">
        <v>3</v>
      </c>
      <c r="X100" s="163">
        <v>10</v>
      </c>
      <c r="Y100" s="163">
        <v>3</v>
      </c>
      <c r="Z100" s="313">
        <v>5</v>
      </c>
      <c r="AA100" s="313">
        <v>1</v>
      </c>
      <c r="AB100" s="313">
        <v>6</v>
      </c>
      <c r="AC100" s="313">
        <v>3</v>
      </c>
      <c r="AD100" s="313">
        <v>2</v>
      </c>
      <c r="AE100" s="84">
        <v>3</v>
      </c>
      <c r="AF100" s="229" t="str">
        <f t="shared" si="46"/>
        <v xml:space="preserve"> </v>
      </c>
      <c r="AG100" s="230" t="str">
        <f t="shared" si="47"/>
        <v xml:space="preserve"> </v>
      </c>
      <c r="AH100" s="231" t="str">
        <f t="shared" si="48"/>
        <v xml:space="preserve"> </v>
      </c>
      <c r="AI100" s="125">
        <f t="shared" si="49"/>
        <v>2.6666666666666665</v>
      </c>
      <c r="AJ100" s="90"/>
      <c r="AK100" s="90"/>
      <c r="AL100" s="95"/>
      <c r="AM100" s="95"/>
      <c r="AN100" s="95"/>
      <c r="AO100" s="95"/>
      <c r="AP100" s="95"/>
      <c r="AQ100" s="95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</row>
    <row r="101" spans="1:178" ht="12.75" thickBot="1" x14ac:dyDescent="0.25">
      <c r="A101" s="444" t="s">
        <v>75</v>
      </c>
      <c r="B101" s="58">
        <f>SUM(B97:B100)</f>
        <v>18</v>
      </c>
      <c r="C101" s="58">
        <f t="shared" ref="C101:AE101" si="50">SUM(C97:C100)</f>
        <v>13</v>
      </c>
      <c r="D101" s="58">
        <f t="shared" si="50"/>
        <v>13</v>
      </c>
      <c r="E101" s="58">
        <f t="shared" si="50"/>
        <v>13</v>
      </c>
      <c r="F101" s="58">
        <f t="shared" si="50"/>
        <v>22</v>
      </c>
      <c r="G101" s="58">
        <f t="shared" si="50"/>
        <v>22</v>
      </c>
      <c r="H101" s="58">
        <f t="shared" si="50"/>
        <v>23</v>
      </c>
      <c r="I101" s="58">
        <f t="shared" si="50"/>
        <v>27</v>
      </c>
      <c r="J101" s="58">
        <f t="shared" si="50"/>
        <v>23</v>
      </c>
      <c r="K101" s="58">
        <f t="shared" si="50"/>
        <v>25</v>
      </c>
      <c r="L101" s="58">
        <f t="shared" si="50"/>
        <v>33</v>
      </c>
      <c r="M101" s="58">
        <f t="shared" si="50"/>
        <v>27</v>
      </c>
      <c r="N101" s="58">
        <f t="shared" si="50"/>
        <v>32</v>
      </c>
      <c r="O101" s="273">
        <f t="shared" si="50"/>
        <v>29</v>
      </c>
      <c r="P101" s="273">
        <f t="shared" si="50"/>
        <v>33</v>
      </c>
      <c r="Q101" s="326">
        <f t="shared" si="50"/>
        <v>29</v>
      </c>
      <c r="R101" s="326">
        <f t="shared" si="50"/>
        <v>41</v>
      </c>
      <c r="S101" s="326">
        <f t="shared" si="50"/>
        <v>50</v>
      </c>
      <c r="T101" s="326">
        <f t="shared" si="50"/>
        <v>56</v>
      </c>
      <c r="U101" s="326">
        <f t="shared" si="50"/>
        <v>50</v>
      </c>
      <c r="V101" s="186">
        <f t="shared" si="50"/>
        <v>58</v>
      </c>
      <c r="W101" s="58">
        <f t="shared" si="50"/>
        <v>39</v>
      </c>
      <c r="X101" s="58">
        <f t="shared" si="50"/>
        <v>59</v>
      </c>
      <c r="Y101" s="58">
        <f t="shared" si="50"/>
        <v>57</v>
      </c>
      <c r="Z101" s="58">
        <f t="shared" si="50"/>
        <v>48</v>
      </c>
      <c r="AA101" s="58">
        <f t="shared" si="50"/>
        <v>39</v>
      </c>
      <c r="AB101" s="58">
        <f t="shared" si="50"/>
        <v>48</v>
      </c>
      <c r="AC101" s="58">
        <f t="shared" si="50"/>
        <v>49</v>
      </c>
      <c r="AD101" s="58">
        <f t="shared" si="50"/>
        <v>15</v>
      </c>
      <c r="AE101" s="58">
        <f t="shared" si="50"/>
        <v>14</v>
      </c>
      <c r="AF101" s="105">
        <f t="shared" si="46"/>
        <v>-6.6666666666666666E-2</v>
      </c>
      <c r="AG101" s="105">
        <f t="shared" si="47"/>
        <v>-0.70833333333333337</v>
      </c>
      <c r="AH101" s="105">
        <f t="shared" si="48"/>
        <v>-0.72</v>
      </c>
      <c r="AI101" s="58">
        <f t="shared" si="49"/>
        <v>26</v>
      </c>
      <c r="AJ101" s="97"/>
      <c r="AK101" s="90"/>
      <c r="AL101" s="98"/>
      <c r="AM101" s="98"/>
      <c r="AN101" s="98"/>
      <c r="AO101" s="98"/>
      <c r="AP101" s="98"/>
      <c r="AQ101" s="98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  <c r="EV101" s="57"/>
      <c r="EW101" s="57"/>
      <c r="EX101" s="57"/>
      <c r="EY101" s="57"/>
      <c r="EZ101" s="57"/>
      <c r="FA101" s="57"/>
      <c r="FB101" s="57"/>
      <c r="FC101" s="57"/>
      <c r="FD101" s="57"/>
      <c r="FE101" s="57"/>
      <c r="FF101" s="57"/>
      <c r="FG101" s="57"/>
      <c r="FH101" s="57"/>
      <c r="FI101" s="57"/>
      <c r="FJ101" s="57"/>
      <c r="FK101" s="57"/>
      <c r="FL101" s="57"/>
      <c r="FM101" s="57"/>
      <c r="FN101" s="57"/>
      <c r="FO101" s="57"/>
      <c r="FP101" s="57"/>
      <c r="FQ101" s="57"/>
      <c r="FR101" s="57"/>
      <c r="FS101" s="57"/>
      <c r="FT101" s="57"/>
      <c r="FU101" s="57"/>
      <c r="FV101" s="57"/>
    </row>
    <row r="102" spans="1:178" ht="13.5" thickTop="1" x14ac:dyDescent="0.2">
      <c r="A102" s="445" t="s">
        <v>76</v>
      </c>
      <c r="B102" s="129"/>
      <c r="C102" s="129"/>
      <c r="D102" s="130"/>
      <c r="E102" s="130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131"/>
      <c r="AA102" s="131"/>
      <c r="AB102" s="131"/>
      <c r="AC102" s="131"/>
      <c r="AD102" s="131"/>
      <c r="AE102" s="131"/>
      <c r="AF102" s="131"/>
      <c r="AG102" s="131"/>
      <c r="AH102" s="108"/>
      <c r="AI102" s="109"/>
      <c r="AJ102" s="97"/>
      <c r="AK102" s="90"/>
      <c r="AL102" s="98"/>
      <c r="AM102" s="98"/>
      <c r="AN102" s="98"/>
      <c r="AO102" s="98"/>
      <c r="AP102" s="98"/>
      <c r="AQ102" s="98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  <c r="FU102" s="57"/>
      <c r="FV102" s="57"/>
    </row>
    <row r="103" spans="1:178" ht="12" x14ac:dyDescent="0.2">
      <c r="A103" s="401" t="s">
        <v>166</v>
      </c>
      <c r="B103" s="100"/>
      <c r="C103" s="100"/>
      <c r="D103" s="100"/>
      <c r="E103" s="100"/>
      <c r="F103" s="100"/>
      <c r="G103" s="132"/>
      <c r="H103" s="93"/>
      <c r="I103" s="93">
        <v>0</v>
      </c>
      <c r="J103" s="133"/>
      <c r="K103" s="133"/>
      <c r="L103" s="133">
        <v>0</v>
      </c>
      <c r="M103" s="133"/>
      <c r="N103" s="93"/>
      <c r="O103" s="265">
        <v>0</v>
      </c>
      <c r="P103" s="265">
        <v>0</v>
      </c>
      <c r="Q103" s="336">
        <v>0</v>
      </c>
      <c r="R103" s="336">
        <v>0</v>
      </c>
      <c r="S103" s="351">
        <v>2</v>
      </c>
      <c r="T103" s="336">
        <v>2</v>
      </c>
      <c r="U103" s="336">
        <v>6</v>
      </c>
      <c r="V103" s="188">
        <v>4</v>
      </c>
      <c r="W103" s="134">
        <v>5</v>
      </c>
      <c r="X103" s="93">
        <v>2</v>
      </c>
      <c r="Y103" s="93">
        <v>4</v>
      </c>
      <c r="Z103" s="134">
        <v>2</v>
      </c>
      <c r="AA103" s="134">
        <v>6</v>
      </c>
      <c r="AB103" s="134">
        <v>3</v>
      </c>
      <c r="AC103" s="134">
        <v>3</v>
      </c>
      <c r="AD103" s="134">
        <v>3</v>
      </c>
      <c r="AE103" s="135">
        <v>4</v>
      </c>
      <c r="AF103" s="114" t="str">
        <f t="shared" ref="AF103:AF110" si="51">IF(AE103=0," ",IF(AI103&gt;20,(AE103-AD103)/AD103," "))</f>
        <v xml:space="preserve"> </v>
      </c>
      <c r="AG103" s="235" t="str">
        <f t="shared" ref="AG103:AG110" si="52">IF(AE103=0," ",IF(AI103&gt;20,(AE103-Z103)/Z103," "))</f>
        <v xml:space="preserve"> </v>
      </c>
      <c r="AH103" s="236" t="str">
        <f t="shared" ref="AH103:AH110" si="53">IF(AE103=0," ",(IF(AI103&gt;20,(AE103-U103)/U103," ")))</f>
        <v xml:space="preserve"> </v>
      </c>
      <c r="AI103" s="247">
        <f t="shared" ref="AI103:AI110" si="54">IF(AC103&gt;0,AVERAGE(AC103:AE103),"  ")</f>
        <v>3.3333333333333335</v>
      </c>
      <c r="AJ103" s="90"/>
      <c r="AK103" s="90"/>
      <c r="AL103" s="95"/>
      <c r="AM103" s="95"/>
      <c r="AN103" s="95"/>
      <c r="AO103" s="95"/>
      <c r="AP103" s="95"/>
      <c r="AQ103" s="95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</row>
    <row r="104" spans="1:178" ht="12" x14ac:dyDescent="0.2">
      <c r="A104" s="401" t="s">
        <v>88</v>
      </c>
      <c r="B104" s="73"/>
      <c r="C104" s="123"/>
      <c r="D104" s="73"/>
      <c r="E104" s="73"/>
      <c r="F104" s="73">
        <v>0</v>
      </c>
      <c r="G104" s="73"/>
      <c r="H104" s="5"/>
      <c r="I104" s="5"/>
      <c r="J104" s="74"/>
      <c r="K104" s="73"/>
      <c r="L104" s="73">
        <v>0</v>
      </c>
      <c r="M104" s="73">
        <v>0</v>
      </c>
      <c r="N104" s="5">
        <v>0</v>
      </c>
      <c r="O104" s="266">
        <v>0</v>
      </c>
      <c r="P104" s="266">
        <v>7</v>
      </c>
      <c r="Q104" s="318">
        <v>3</v>
      </c>
      <c r="R104" s="318">
        <v>6</v>
      </c>
      <c r="S104" s="352">
        <v>9</v>
      </c>
      <c r="T104" s="318">
        <v>12</v>
      </c>
      <c r="U104" s="318">
        <v>8</v>
      </c>
      <c r="V104" s="276">
        <v>9</v>
      </c>
      <c r="W104" s="74">
        <v>3</v>
      </c>
      <c r="X104" s="5">
        <v>5</v>
      </c>
      <c r="Y104" s="5">
        <v>9</v>
      </c>
      <c r="Z104" s="74">
        <v>12</v>
      </c>
      <c r="AA104" s="74">
        <v>8</v>
      </c>
      <c r="AB104" s="74">
        <v>3</v>
      </c>
      <c r="AC104" s="74">
        <v>9</v>
      </c>
      <c r="AD104" s="74">
        <v>11</v>
      </c>
      <c r="AE104" s="75">
        <v>4</v>
      </c>
      <c r="AF104" s="76" t="str">
        <f t="shared" si="51"/>
        <v xml:space="preserve"> </v>
      </c>
      <c r="AG104" s="193" t="str">
        <f t="shared" si="52"/>
        <v xml:space="preserve"> </v>
      </c>
      <c r="AH104" s="194" t="str">
        <f t="shared" si="53"/>
        <v xml:space="preserve"> </v>
      </c>
      <c r="AI104" s="125">
        <f t="shared" si="54"/>
        <v>8</v>
      </c>
      <c r="AJ104" s="90"/>
      <c r="AK104" s="90"/>
      <c r="AL104" s="95"/>
      <c r="AM104" s="95"/>
      <c r="AN104" s="95"/>
      <c r="AO104" s="95"/>
      <c r="AP104" s="95"/>
      <c r="AQ104" s="95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</row>
    <row r="105" spans="1:178" ht="12" x14ac:dyDescent="0.2">
      <c r="A105" s="401" t="s">
        <v>89</v>
      </c>
      <c r="B105" s="136">
        <v>0</v>
      </c>
      <c r="C105" s="73">
        <v>0</v>
      </c>
      <c r="D105" s="136"/>
      <c r="E105" s="136">
        <v>0</v>
      </c>
      <c r="F105" s="136">
        <v>0</v>
      </c>
      <c r="G105" s="122">
        <v>0</v>
      </c>
      <c r="H105" s="5">
        <v>0</v>
      </c>
      <c r="I105" s="5">
        <v>0</v>
      </c>
      <c r="J105" s="122">
        <v>1</v>
      </c>
      <c r="K105" s="122">
        <v>3</v>
      </c>
      <c r="L105" s="122">
        <v>7</v>
      </c>
      <c r="M105" s="122">
        <v>7</v>
      </c>
      <c r="N105" s="5">
        <v>4</v>
      </c>
      <c r="O105" s="266">
        <v>4</v>
      </c>
      <c r="P105" s="266">
        <v>9</v>
      </c>
      <c r="Q105" s="337">
        <v>4</v>
      </c>
      <c r="R105" s="337">
        <v>3</v>
      </c>
      <c r="S105" s="352">
        <v>6</v>
      </c>
      <c r="T105" s="337">
        <v>3</v>
      </c>
      <c r="U105" s="337">
        <v>4</v>
      </c>
      <c r="V105" s="349">
        <v>4</v>
      </c>
      <c r="W105" s="4">
        <v>2</v>
      </c>
      <c r="X105" s="5">
        <v>5</v>
      </c>
      <c r="Y105" s="5">
        <v>1</v>
      </c>
      <c r="Z105" s="4">
        <v>1</v>
      </c>
      <c r="AA105" s="4">
        <v>0</v>
      </c>
      <c r="AB105" s="4">
        <v>6</v>
      </c>
      <c r="AC105" s="4">
        <v>3</v>
      </c>
      <c r="AD105" s="4">
        <v>4</v>
      </c>
      <c r="AE105" s="137">
        <v>1</v>
      </c>
      <c r="AF105" s="76" t="str">
        <f t="shared" si="51"/>
        <v xml:space="preserve"> </v>
      </c>
      <c r="AG105" s="193" t="str">
        <f t="shared" si="52"/>
        <v xml:space="preserve"> </v>
      </c>
      <c r="AH105" s="194" t="str">
        <f t="shared" si="53"/>
        <v xml:space="preserve"> </v>
      </c>
      <c r="AI105" s="125">
        <f t="shared" si="54"/>
        <v>2.6666666666666665</v>
      </c>
      <c r="AJ105" s="90"/>
      <c r="AK105" s="90"/>
      <c r="AL105" s="95"/>
      <c r="AM105" s="95"/>
      <c r="AN105" s="95"/>
      <c r="AO105" s="95"/>
      <c r="AP105" s="95"/>
      <c r="AQ105" s="95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</row>
    <row r="106" spans="1:178" ht="12.75" thickBot="1" x14ac:dyDescent="0.25">
      <c r="A106" s="446" t="s">
        <v>77</v>
      </c>
      <c r="B106" s="138">
        <f>+B103+B104+B105</f>
        <v>0</v>
      </c>
      <c r="C106" s="138">
        <f t="shared" ref="C106:AE106" si="55">+C103+C104+C105</f>
        <v>0</v>
      </c>
      <c r="D106" s="138">
        <f t="shared" si="55"/>
        <v>0</v>
      </c>
      <c r="E106" s="138">
        <f t="shared" si="55"/>
        <v>0</v>
      </c>
      <c r="F106" s="138">
        <f t="shared" si="55"/>
        <v>0</v>
      </c>
      <c r="G106" s="138">
        <f t="shared" si="55"/>
        <v>0</v>
      </c>
      <c r="H106" s="138">
        <f t="shared" si="55"/>
        <v>0</v>
      </c>
      <c r="I106" s="138">
        <f t="shared" si="55"/>
        <v>0</v>
      </c>
      <c r="J106" s="138">
        <f t="shared" si="55"/>
        <v>1</v>
      </c>
      <c r="K106" s="138">
        <f t="shared" si="55"/>
        <v>3</v>
      </c>
      <c r="L106" s="138">
        <f t="shared" si="55"/>
        <v>7</v>
      </c>
      <c r="M106" s="138">
        <f t="shared" si="55"/>
        <v>7</v>
      </c>
      <c r="N106" s="138">
        <f t="shared" si="55"/>
        <v>4</v>
      </c>
      <c r="O106" s="294">
        <f t="shared" si="55"/>
        <v>4</v>
      </c>
      <c r="P106" s="294">
        <f t="shared" si="55"/>
        <v>16</v>
      </c>
      <c r="Q106" s="328">
        <f t="shared" si="55"/>
        <v>7</v>
      </c>
      <c r="R106" s="328">
        <f t="shared" si="55"/>
        <v>9</v>
      </c>
      <c r="S106" s="328">
        <f t="shared" si="55"/>
        <v>17</v>
      </c>
      <c r="T106" s="328">
        <f t="shared" si="55"/>
        <v>17</v>
      </c>
      <c r="U106" s="328">
        <f t="shared" si="55"/>
        <v>18</v>
      </c>
      <c r="V106" s="187">
        <f t="shared" si="55"/>
        <v>17</v>
      </c>
      <c r="W106" s="138">
        <f t="shared" si="55"/>
        <v>10</v>
      </c>
      <c r="X106" s="138">
        <f t="shared" si="55"/>
        <v>12</v>
      </c>
      <c r="Y106" s="138">
        <f t="shared" si="55"/>
        <v>14</v>
      </c>
      <c r="Z106" s="138">
        <f t="shared" si="55"/>
        <v>15</v>
      </c>
      <c r="AA106" s="138">
        <f t="shared" si="55"/>
        <v>14</v>
      </c>
      <c r="AB106" s="138">
        <f t="shared" si="55"/>
        <v>12</v>
      </c>
      <c r="AC106" s="138">
        <f t="shared" si="55"/>
        <v>15</v>
      </c>
      <c r="AD106" s="138">
        <f t="shared" si="55"/>
        <v>18</v>
      </c>
      <c r="AE106" s="138">
        <f t="shared" si="55"/>
        <v>9</v>
      </c>
      <c r="AF106" s="138" t="str">
        <f t="shared" si="51"/>
        <v xml:space="preserve"> </v>
      </c>
      <c r="AG106" s="138" t="str">
        <f t="shared" si="52"/>
        <v xml:space="preserve"> </v>
      </c>
      <c r="AH106" s="138" t="str">
        <f t="shared" si="53"/>
        <v xml:space="preserve"> </v>
      </c>
      <c r="AI106" s="138">
        <f t="shared" si="54"/>
        <v>14</v>
      </c>
      <c r="AJ106" s="90"/>
      <c r="AK106" s="90"/>
      <c r="AL106" s="95"/>
      <c r="AM106" s="95"/>
      <c r="AN106" s="95"/>
      <c r="AO106" s="95"/>
      <c r="AP106" s="95"/>
      <c r="AQ106" s="95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</row>
    <row r="107" spans="1:178" s="544" customFormat="1" ht="13.5" thickTop="1" thickBot="1" x14ac:dyDescent="0.25">
      <c r="A107" s="420" t="s">
        <v>78</v>
      </c>
      <c r="B107" s="538"/>
      <c r="C107" s="538"/>
      <c r="D107" s="539"/>
      <c r="E107" s="539"/>
      <c r="F107" s="538"/>
      <c r="G107" s="538"/>
      <c r="H107" s="538"/>
      <c r="I107" s="538"/>
      <c r="J107" s="538"/>
      <c r="K107" s="538"/>
      <c r="L107" s="538"/>
      <c r="M107" s="538"/>
      <c r="N107" s="538"/>
      <c r="O107" s="538"/>
      <c r="P107" s="540"/>
      <c r="Q107" s="540"/>
      <c r="R107" s="540"/>
      <c r="S107" s="540"/>
      <c r="T107" s="540"/>
      <c r="U107" s="540"/>
      <c r="V107" s="540"/>
      <c r="W107" s="540"/>
      <c r="X107" s="540"/>
      <c r="Y107" s="540"/>
      <c r="Z107" s="540"/>
      <c r="AA107" s="540"/>
      <c r="AB107" s="540"/>
      <c r="AC107" s="540"/>
      <c r="AD107" s="28"/>
      <c r="AE107" s="28"/>
      <c r="AF107" s="29"/>
      <c r="AG107" s="29"/>
      <c r="AH107" s="29"/>
      <c r="AI107" s="541"/>
      <c r="AJ107" s="542"/>
      <c r="AK107" s="542"/>
      <c r="AL107" s="543"/>
      <c r="AM107" s="543"/>
      <c r="AN107" s="543"/>
      <c r="AO107" s="543"/>
      <c r="AP107" s="543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</row>
    <row r="108" spans="1:178" s="544" customFormat="1" ht="13.5" thickTop="1" thickBot="1" x14ac:dyDescent="0.25">
      <c r="A108" s="401" t="s">
        <v>167</v>
      </c>
      <c r="B108" s="545"/>
      <c r="C108" s="545"/>
      <c r="D108" s="546"/>
      <c r="E108" s="546"/>
      <c r="F108" s="545"/>
      <c r="G108" s="545"/>
      <c r="H108" s="545"/>
      <c r="I108" s="545"/>
      <c r="J108" s="545"/>
      <c r="K108" s="545"/>
      <c r="L108" s="545"/>
      <c r="M108" s="545"/>
      <c r="N108" s="545"/>
      <c r="O108" s="545"/>
      <c r="P108" s="547"/>
      <c r="Q108" s="547"/>
      <c r="R108" s="547"/>
      <c r="S108" s="547"/>
      <c r="T108" s="547"/>
      <c r="U108" s="529"/>
      <c r="V108" s="530"/>
      <c r="W108" s="531"/>
      <c r="X108" s="531"/>
      <c r="Y108" s="531"/>
      <c r="Z108" s="531"/>
      <c r="AA108" s="531"/>
      <c r="AB108" s="531"/>
      <c r="AC108" s="531"/>
      <c r="AD108" s="531"/>
      <c r="AE108" s="532"/>
      <c r="AF108" s="345" t="str">
        <f>IF(AE108=0," ",IF(AI108&gt;20,(AE108-AD108)/AD108," "))</f>
        <v xml:space="preserve"> </v>
      </c>
      <c r="AG108" s="346" t="str">
        <f>IF(AE108=0," ",IF(AI108&gt;20,(AE108-Z108)/Z108," "))</f>
        <v xml:space="preserve"> </v>
      </c>
      <c r="AH108" s="347" t="str">
        <f>IF(AE108=0," ",(IF(AI108&gt;20,(AE108-U108)/U108," ")))</f>
        <v xml:space="preserve"> </v>
      </c>
      <c r="AI108" s="247" t="str">
        <f>IF(AC108&gt;0,AVERAGE(AC108:AE108),"  ")</f>
        <v xml:space="preserve">  </v>
      </c>
      <c r="AJ108" s="542"/>
      <c r="AK108" s="542"/>
      <c r="AL108" s="543"/>
      <c r="AM108" s="543"/>
      <c r="AN108" s="543"/>
      <c r="AO108" s="543"/>
      <c r="AP108" s="543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</row>
    <row r="109" spans="1:178" s="544" customFormat="1" ht="12.75" thickTop="1" x14ac:dyDescent="0.2">
      <c r="A109" s="549" t="s">
        <v>168</v>
      </c>
      <c r="B109" s="538"/>
      <c r="C109" s="538"/>
      <c r="D109" s="539"/>
      <c r="E109" s="539"/>
      <c r="F109" s="538"/>
      <c r="G109" s="538"/>
      <c r="H109" s="538"/>
      <c r="I109" s="538"/>
      <c r="J109" s="538"/>
      <c r="K109" s="538"/>
      <c r="L109" s="538"/>
      <c r="M109" s="538"/>
      <c r="N109" s="538"/>
      <c r="O109" s="538"/>
      <c r="P109" s="540"/>
      <c r="Q109" s="540"/>
      <c r="R109" s="540"/>
      <c r="S109" s="540"/>
      <c r="T109" s="540"/>
      <c r="U109" s="571"/>
      <c r="V109" s="572"/>
      <c r="W109" s="573"/>
      <c r="X109" s="573"/>
      <c r="Y109" s="573"/>
      <c r="Z109" s="573"/>
      <c r="AA109" s="573"/>
      <c r="AB109" s="573"/>
      <c r="AC109" s="573"/>
      <c r="AD109" s="573"/>
      <c r="AE109" s="515"/>
      <c r="AF109" s="550"/>
      <c r="AG109" s="551"/>
      <c r="AH109" s="552"/>
      <c r="AI109" s="553"/>
      <c r="AJ109" s="542"/>
      <c r="AK109" s="542"/>
      <c r="AL109" s="543"/>
      <c r="AM109" s="543"/>
      <c r="AN109" s="543"/>
      <c r="AO109" s="543"/>
      <c r="AP109" s="543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</row>
    <row r="110" spans="1:178" ht="12.75" thickBot="1" x14ac:dyDescent="0.25">
      <c r="A110" s="563" t="s">
        <v>90</v>
      </c>
      <c r="B110" s="564">
        <v>30</v>
      </c>
      <c r="C110" s="564">
        <v>32</v>
      </c>
      <c r="D110" s="565">
        <v>35</v>
      </c>
      <c r="E110" s="565">
        <v>37</v>
      </c>
      <c r="F110" s="564">
        <v>38</v>
      </c>
      <c r="G110" s="564">
        <v>28</v>
      </c>
      <c r="H110" s="564">
        <v>35</v>
      </c>
      <c r="I110" s="564">
        <v>39</v>
      </c>
      <c r="J110" s="564">
        <v>46</v>
      </c>
      <c r="K110" s="564">
        <v>51</v>
      </c>
      <c r="L110" s="564">
        <v>37</v>
      </c>
      <c r="M110" s="564">
        <v>39</v>
      </c>
      <c r="N110" s="564">
        <v>38</v>
      </c>
      <c r="O110" s="566">
        <v>49</v>
      </c>
      <c r="P110" s="566">
        <v>41</v>
      </c>
      <c r="Q110" s="567">
        <v>32</v>
      </c>
      <c r="R110" s="567">
        <v>37</v>
      </c>
      <c r="S110" s="567">
        <v>21</v>
      </c>
      <c r="T110" s="567">
        <v>26</v>
      </c>
      <c r="U110" s="567">
        <v>27</v>
      </c>
      <c r="V110" s="568">
        <v>30</v>
      </c>
      <c r="W110" s="564">
        <v>27</v>
      </c>
      <c r="X110" s="564">
        <v>40</v>
      </c>
      <c r="Y110" s="564">
        <v>36</v>
      </c>
      <c r="Z110" s="569">
        <v>38</v>
      </c>
      <c r="AA110" s="569">
        <v>31</v>
      </c>
      <c r="AB110" s="569">
        <v>32</v>
      </c>
      <c r="AC110" s="569">
        <v>32</v>
      </c>
      <c r="AD110" s="569">
        <v>35</v>
      </c>
      <c r="AE110" s="569">
        <v>35</v>
      </c>
      <c r="AF110" s="570">
        <f t="shared" si="51"/>
        <v>0</v>
      </c>
      <c r="AG110" s="570">
        <f t="shared" si="52"/>
        <v>-7.8947368421052627E-2</v>
      </c>
      <c r="AH110" s="570">
        <f t="shared" si="53"/>
        <v>0.29629629629629628</v>
      </c>
      <c r="AI110" s="569">
        <f t="shared" si="54"/>
        <v>34</v>
      </c>
      <c r="AJ110" s="90"/>
      <c r="AK110" s="90"/>
      <c r="AL110" s="95"/>
      <c r="AM110" s="95"/>
      <c r="AN110" s="95"/>
      <c r="AO110" s="95"/>
      <c r="AP110" s="95"/>
      <c r="AQ110" s="95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</row>
    <row r="111" spans="1:178" ht="12.75" thickTop="1" x14ac:dyDescent="0.2">
      <c r="A111" s="447" t="s">
        <v>80</v>
      </c>
      <c r="B111" s="139"/>
      <c r="C111" s="139"/>
      <c r="D111" s="140"/>
      <c r="E111" s="140"/>
      <c r="F111" s="139"/>
      <c r="G111" s="141"/>
      <c r="H111" s="141"/>
      <c r="I111" s="141"/>
      <c r="J111" s="139"/>
      <c r="K111" s="139"/>
      <c r="L111" s="139"/>
      <c r="M111" s="139"/>
      <c r="N111" s="139"/>
      <c r="O111" s="139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3"/>
      <c r="AA111" s="143"/>
      <c r="AB111" s="143"/>
      <c r="AC111" s="143"/>
      <c r="AD111" s="143"/>
      <c r="AE111" s="143"/>
      <c r="AF111" s="257"/>
      <c r="AG111" s="257"/>
      <c r="AH111" s="258"/>
      <c r="AI111" s="259"/>
      <c r="AJ111" s="90"/>
      <c r="AK111" s="90"/>
      <c r="AL111" s="95"/>
      <c r="AM111" s="95"/>
      <c r="AN111" s="95"/>
      <c r="AO111" s="95"/>
      <c r="AP111" s="95"/>
      <c r="AQ111" s="95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</row>
    <row r="112" spans="1:178" ht="12" x14ac:dyDescent="0.2">
      <c r="A112" s="574" t="s">
        <v>169</v>
      </c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34"/>
      <c r="N112" s="134"/>
      <c r="O112" s="295"/>
      <c r="P112" s="295"/>
      <c r="Q112" s="336"/>
      <c r="R112" s="336">
        <v>0</v>
      </c>
      <c r="S112" s="336"/>
      <c r="T112" s="336">
        <v>0</v>
      </c>
      <c r="U112" s="336"/>
      <c r="V112" s="188"/>
      <c r="W112" s="134"/>
      <c r="X112" s="93"/>
      <c r="Y112" s="93">
        <v>6</v>
      </c>
      <c r="Z112" s="134">
        <v>0</v>
      </c>
      <c r="AA112" s="134">
        <v>6</v>
      </c>
      <c r="AB112" s="134">
        <v>4</v>
      </c>
      <c r="AC112" s="134">
        <v>4</v>
      </c>
      <c r="AD112" s="134">
        <v>5</v>
      </c>
      <c r="AE112" s="145">
        <v>9</v>
      </c>
      <c r="AF112" s="345" t="str">
        <f t="shared" ref="AF112:AF120" si="56">IF(AE112=0," ",IF(AI112&gt;20,(AE112-AD112)/AD112," "))</f>
        <v xml:space="preserve"> </v>
      </c>
      <c r="AG112" s="346" t="str">
        <f t="shared" ref="AG112:AG120" si="57">IF(AE112=0," ",IF(AI112&gt;20,(AE112-Z112)/Z112," "))</f>
        <v xml:space="preserve"> </v>
      </c>
      <c r="AH112" s="347" t="str">
        <f t="shared" ref="AH112:AH120" si="58">IF(AE112=0," ",(IF(AI112&gt;20,(AE112-U112)/U112," ")))</f>
        <v xml:space="preserve"> </v>
      </c>
      <c r="AI112" s="247">
        <f t="shared" ref="AI112:AI120" si="59">IF(AC112&gt;0,AVERAGE(AC112:AE112),"  ")</f>
        <v>6</v>
      </c>
    </row>
    <row r="113" spans="1:35" ht="12" x14ac:dyDescent="0.2">
      <c r="A113" s="412" t="s">
        <v>110</v>
      </c>
      <c r="B113" s="73">
        <v>80</v>
      </c>
      <c r="C113" s="123">
        <v>87</v>
      </c>
      <c r="D113" s="73">
        <v>88</v>
      </c>
      <c r="E113" s="73">
        <v>89</v>
      </c>
      <c r="F113" s="73">
        <v>74</v>
      </c>
      <c r="G113" s="73">
        <v>61</v>
      </c>
      <c r="H113" s="5">
        <v>51</v>
      </c>
      <c r="I113" s="5">
        <v>49</v>
      </c>
      <c r="J113" s="74">
        <v>70</v>
      </c>
      <c r="K113" s="73">
        <v>52</v>
      </c>
      <c r="L113" s="73">
        <v>51</v>
      </c>
      <c r="M113" s="73">
        <v>48</v>
      </c>
      <c r="N113" s="5">
        <v>38</v>
      </c>
      <c r="O113" s="266">
        <v>47</v>
      </c>
      <c r="P113" s="266">
        <v>46</v>
      </c>
      <c r="Q113" s="318">
        <v>35</v>
      </c>
      <c r="R113" s="318">
        <v>26</v>
      </c>
      <c r="S113" s="352">
        <v>36</v>
      </c>
      <c r="T113" s="318">
        <v>33</v>
      </c>
      <c r="U113" s="318">
        <v>32</v>
      </c>
      <c r="V113" s="276">
        <v>38</v>
      </c>
      <c r="W113" s="74">
        <v>28</v>
      </c>
      <c r="X113" s="5">
        <v>27</v>
      </c>
      <c r="Y113" s="5">
        <v>36</v>
      </c>
      <c r="Z113" s="74">
        <v>27</v>
      </c>
      <c r="AA113" s="74">
        <v>29</v>
      </c>
      <c r="AB113" s="74">
        <v>25</v>
      </c>
      <c r="AC113" s="74">
        <v>20</v>
      </c>
      <c r="AD113" s="74">
        <v>18</v>
      </c>
      <c r="AE113" s="75">
        <v>24</v>
      </c>
      <c r="AF113" s="229">
        <f t="shared" si="56"/>
        <v>0.33333333333333331</v>
      </c>
      <c r="AG113" s="230">
        <f t="shared" si="57"/>
        <v>-0.1111111111111111</v>
      </c>
      <c r="AH113" s="231">
        <f t="shared" si="58"/>
        <v>-0.25</v>
      </c>
      <c r="AI113" s="125">
        <f t="shared" si="59"/>
        <v>20.666666666666668</v>
      </c>
    </row>
    <row r="114" spans="1:35" ht="12" x14ac:dyDescent="0.2">
      <c r="A114" s="449" t="s">
        <v>32</v>
      </c>
      <c r="B114" s="136"/>
      <c r="C114" s="73"/>
      <c r="D114" s="136"/>
      <c r="E114" s="136"/>
      <c r="F114" s="136"/>
      <c r="G114" s="122"/>
      <c r="H114" s="5"/>
      <c r="I114" s="5"/>
      <c r="J114" s="122"/>
      <c r="K114" s="122">
        <v>1</v>
      </c>
      <c r="L114" s="122">
        <v>0</v>
      </c>
      <c r="M114" s="122">
        <v>3</v>
      </c>
      <c r="N114" s="5">
        <v>7</v>
      </c>
      <c r="O114" s="266">
        <v>9</v>
      </c>
      <c r="P114" s="266">
        <v>5</v>
      </c>
      <c r="Q114" s="337">
        <v>12</v>
      </c>
      <c r="R114" s="337">
        <v>7</v>
      </c>
      <c r="S114" s="352">
        <v>11</v>
      </c>
      <c r="T114" s="337">
        <v>12</v>
      </c>
      <c r="U114" s="337">
        <v>7</v>
      </c>
      <c r="V114" s="349">
        <v>4</v>
      </c>
      <c r="W114" s="4">
        <v>3</v>
      </c>
      <c r="X114" s="5">
        <v>8</v>
      </c>
      <c r="Y114" s="5">
        <v>8</v>
      </c>
      <c r="Z114" s="4">
        <v>4</v>
      </c>
      <c r="AA114" s="4">
        <v>7</v>
      </c>
      <c r="AB114" s="4">
        <v>6</v>
      </c>
      <c r="AC114" s="4">
        <v>5</v>
      </c>
      <c r="AD114" s="4">
        <v>4</v>
      </c>
      <c r="AE114" s="137">
        <v>8</v>
      </c>
      <c r="AF114" s="229" t="str">
        <f t="shared" si="56"/>
        <v xml:space="preserve"> </v>
      </c>
      <c r="AG114" s="230" t="str">
        <f t="shared" si="57"/>
        <v xml:space="preserve"> </v>
      </c>
      <c r="AH114" s="231" t="str">
        <f t="shared" si="58"/>
        <v xml:space="preserve"> </v>
      </c>
      <c r="AI114" s="125">
        <f t="shared" si="59"/>
        <v>5.666666666666667</v>
      </c>
    </row>
    <row r="115" spans="1:35" ht="12" x14ac:dyDescent="0.2">
      <c r="A115" s="448" t="s">
        <v>91</v>
      </c>
      <c r="B115" s="582"/>
      <c r="C115" s="582"/>
      <c r="D115" s="582"/>
      <c r="E115" s="582">
        <v>6</v>
      </c>
      <c r="F115" s="582">
        <v>21</v>
      </c>
      <c r="G115" s="519">
        <v>9</v>
      </c>
      <c r="H115" s="7">
        <v>11</v>
      </c>
      <c r="I115" s="7">
        <v>13</v>
      </c>
      <c r="J115" s="519">
        <v>13</v>
      </c>
      <c r="K115" s="519">
        <v>15</v>
      </c>
      <c r="L115" s="519">
        <v>11</v>
      </c>
      <c r="M115" s="519">
        <v>15</v>
      </c>
      <c r="N115" s="7">
        <v>2</v>
      </c>
      <c r="O115" s="267">
        <v>12</v>
      </c>
      <c r="P115" s="267">
        <v>12</v>
      </c>
      <c r="Q115" s="338">
        <v>13</v>
      </c>
      <c r="R115" s="338">
        <v>12</v>
      </c>
      <c r="S115" s="353">
        <v>13</v>
      </c>
      <c r="T115" s="338">
        <v>17</v>
      </c>
      <c r="U115" s="338">
        <v>9</v>
      </c>
      <c r="V115" s="350">
        <v>14</v>
      </c>
      <c r="W115" s="8">
        <v>6</v>
      </c>
      <c r="X115" s="7">
        <v>7</v>
      </c>
      <c r="Y115" s="7">
        <v>6</v>
      </c>
      <c r="Z115" s="8">
        <v>5</v>
      </c>
      <c r="AA115" s="8">
        <v>4</v>
      </c>
      <c r="AB115" s="8">
        <v>4</v>
      </c>
      <c r="AC115" s="8">
        <v>1</v>
      </c>
      <c r="AD115" s="8">
        <v>6</v>
      </c>
      <c r="AE115" s="250">
        <v>2</v>
      </c>
      <c r="AF115" s="232" t="str">
        <f t="shared" si="56"/>
        <v xml:space="preserve"> </v>
      </c>
      <c r="AG115" s="233" t="str">
        <f t="shared" si="57"/>
        <v xml:space="preserve"> </v>
      </c>
      <c r="AH115" s="234" t="str">
        <f t="shared" si="58"/>
        <v xml:space="preserve"> </v>
      </c>
      <c r="AI115" s="246">
        <f t="shared" si="59"/>
        <v>3</v>
      </c>
    </row>
    <row r="116" spans="1:35" ht="12" x14ac:dyDescent="0.2">
      <c r="A116" s="449" t="s">
        <v>101</v>
      </c>
      <c r="B116" s="122"/>
      <c r="C116" s="156">
        <v>0</v>
      </c>
      <c r="D116" s="122">
        <v>8</v>
      </c>
      <c r="E116" s="122">
        <v>11</v>
      </c>
      <c r="F116" s="122">
        <v>12</v>
      </c>
      <c r="G116" s="122">
        <v>9</v>
      </c>
      <c r="H116" s="5">
        <v>8</v>
      </c>
      <c r="I116" s="5">
        <v>15</v>
      </c>
      <c r="J116" s="122">
        <v>11</v>
      </c>
      <c r="K116" s="122">
        <v>16</v>
      </c>
      <c r="L116" s="122">
        <v>9</v>
      </c>
      <c r="M116" s="122">
        <v>6</v>
      </c>
      <c r="N116" s="5">
        <v>12</v>
      </c>
      <c r="O116" s="266">
        <v>14</v>
      </c>
      <c r="P116" s="266">
        <v>7</v>
      </c>
      <c r="Q116" s="337">
        <v>6</v>
      </c>
      <c r="R116" s="337">
        <v>11</v>
      </c>
      <c r="S116" s="352">
        <v>11</v>
      </c>
      <c r="T116" s="337">
        <v>21</v>
      </c>
      <c r="U116" s="337">
        <v>14</v>
      </c>
      <c r="V116" s="349">
        <v>14</v>
      </c>
      <c r="W116" s="4">
        <v>10</v>
      </c>
      <c r="X116" s="5">
        <v>13</v>
      </c>
      <c r="Y116" s="5">
        <v>11</v>
      </c>
      <c r="Z116" s="4">
        <v>8</v>
      </c>
      <c r="AA116" s="4">
        <v>13</v>
      </c>
      <c r="AB116" s="4">
        <v>17</v>
      </c>
      <c r="AC116" s="4">
        <v>5</v>
      </c>
      <c r="AD116" s="4">
        <v>7</v>
      </c>
      <c r="AE116" s="137">
        <v>12</v>
      </c>
      <c r="AF116" s="229" t="str">
        <f t="shared" si="56"/>
        <v xml:space="preserve"> </v>
      </c>
      <c r="AG116" s="230" t="str">
        <f t="shared" si="57"/>
        <v xml:space="preserve"> </v>
      </c>
      <c r="AH116" s="231" t="str">
        <f t="shared" si="58"/>
        <v xml:space="preserve"> </v>
      </c>
      <c r="AI116" s="125">
        <f t="shared" si="59"/>
        <v>8</v>
      </c>
    </row>
    <row r="117" spans="1:35" ht="12" x14ac:dyDescent="0.2">
      <c r="A117" s="449" t="s">
        <v>102</v>
      </c>
      <c r="B117" s="122"/>
      <c r="C117" s="156"/>
      <c r="D117" s="122"/>
      <c r="E117" s="122"/>
      <c r="F117" s="122"/>
      <c r="G117" s="122"/>
      <c r="H117" s="5"/>
      <c r="I117" s="5"/>
      <c r="J117" s="122"/>
      <c r="K117" s="122"/>
      <c r="L117" s="122"/>
      <c r="M117" s="122"/>
      <c r="N117" s="5"/>
      <c r="O117" s="266"/>
      <c r="P117" s="266"/>
      <c r="Q117" s="337"/>
      <c r="R117" s="337">
        <v>0</v>
      </c>
      <c r="S117" s="352">
        <v>0</v>
      </c>
      <c r="T117" s="337">
        <v>0</v>
      </c>
      <c r="U117" s="337">
        <v>0</v>
      </c>
      <c r="V117" s="349"/>
      <c r="W117" s="4"/>
      <c r="X117" s="5">
        <v>0</v>
      </c>
      <c r="Y117" s="5">
        <v>0</v>
      </c>
      <c r="Z117" s="4">
        <v>1</v>
      </c>
      <c r="AA117" s="4">
        <v>2</v>
      </c>
      <c r="AB117" s="4">
        <v>12</v>
      </c>
      <c r="AC117" s="4">
        <v>4</v>
      </c>
      <c r="AD117" s="4">
        <v>3</v>
      </c>
      <c r="AE117" s="137">
        <v>5</v>
      </c>
      <c r="AF117" s="229" t="str">
        <f t="shared" si="56"/>
        <v xml:space="preserve"> </v>
      </c>
      <c r="AG117" s="230" t="str">
        <f t="shared" si="57"/>
        <v xml:space="preserve"> </v>
      </c>
      <c r="AH117" s="231" t="str">
        <f t="shared" si="58"/>
        <v xml:space="preserve"> </v>
      </c>
      <c r="AI117" s="125">
        <f t="shared" si="59"/>
        <v>4</v>
      </c>
    </row>
    <row r="118" spans="1:35" ht="12" x14ac:dyDescent="0.2">
      <c r="A118" s="449" t="s">
        <v>109</v>
      </c>
      <c r="B118" s="122"/>
      <c r="C118" s="156"/>
      <c r="D118" s="122"/>
      <c r="E118" s="122"/>
      <c r="F118" s="122"/>
      <c r="G118" s="122"/>
      <c r="H118" s="5"/>
      <c r="I118" s="5"/>
      <c r="J118" s="122"/>
      <c r="K118" s="122"/>
      <c r="L118" s="122"/>
      <c r="M118" s="122"/>
      <c r="N118" s="5"/>
      <c r="O118" s="266"/>
      <c r="P118" s="266"/>
      <c r="Q118" s="337"/>
      <c r="R118" s="337">
        <v>0</v>
      </c>
      <c r="S118" s="352">
        <v>0</v>
      </c>
      <c r="T118" s="337">
        <v>0</v>
      </c>
      <c r="U118" s="337">
        <v>0</v>
      </c>
      <c r="V118" s="349"/>
      <c r="W118" s="4"/>
      <c r="X118" s="5">
        <v>0</v>
      </c>
      <c r="Y118" s="5">
        <v>0</v>
      </c>
      <c r="Z118" s="4">
        <v>0</v>
      </c>
      <c r="AA118" s="4">
        <v>0</v>
      </c>
      <c r="AB118" s="4">
        <v>0</v>
      </c>
      <c r="AC118" s="4">
        <v>1</v>
      </c>
      <c r="AD118" s="4">
        <v>0</v>
      </c>
      <c r="AE118" s="137">
        <v>1</v>
      </c>
      <c r="AF118" s="229" t="str">
        <f t="shared" si="56"/>
        <v xml:space="preserve"> </v>
      </c>
      <c r="AG118" s="230" t="str">
        <f t="shared" si="57"/>
        <v xml:space="preserve"> </v>
      </c>
      <c r="AH118" s="231" t="str">
        <f t="shared" si="58"/>
        <v xml:space="preserve"> </v>
      </c>
      <c r="AI118" s="125">
        <f t="shared" si="59"/>
        <v>0.66666666666666663</v>
      </c>
    </row>
    <row r="119" spans="1:35" ht="12" x14ac:dyDescent="0.2">
      <c r="A119" s="575" t="s">
        <v>111</v>
      </c>
      <c r="B119" s="576"/>
      <c r="C119" s="577"/>
      <c r="D119" s="576"/>
      <c r="E119" s="576"/>
      <c r="F119" s="576"/>
      <c r="G119" s="576"/>
      <c r="H119" s="94"/>
      <c r="I119" s="94"/>
      <c r="J119" s="576"/>
      <c r="K119" s="576"/>
      <c r="L119" s="576"/>
      <c r="M119" s="576"/>
      <c r="N119" s="94"/>
      <c r="O119" s="274"/>
      <c r="P119" s="274"/>
      <c r="Q119" s="578"/>
      <c r="R119" s="578">
        <v>0</v>
      </c>
      <c r="S119" s="357">
        <v>0</v>
      </c>
      <c r="T119" s="578">
        <v>0</v>
      </c>
      <c r="U119" s="578">
        <v>0</v>
      </c>
      <c r="V119" s="579"/>
      <c r="W119" s="580"/>
      <c r="X119" s="94">
        <v>0</v>
      </c>
      <c r="Y119" s="94">
        <v>0</v>
      </c>
      <c r="Z119" s="580">
        <v>0</v>
      </c>
      <c r="AA119" s="580">
        <v>0</v>
      </c>
      <c r="AB119" s="580">
        <v>0</v>
      </c>
      <c r="AC119" s="580">
        <v>1</v>
      </c>
      <c r="AD119" s="580">
        <v>0</v>
      </c>
      <c r="AE119" s="581">
        <v>0</v>
      </c>
      <c r="AF119" s="557" t="str">
        <f t="shared" si="56"/>
        <v xml:space="preserve"> </v>
      </c>
      <c r="AG119" s="558" t="str">
        <f t="shared" si="57"/>
        <v xml:space="preserve"> </v>
      </c>
      <c r="AH119" s="559" t="str">
        <f t="shared" si="58"/>
        <v xml:space="preserve"> </v>
      </c>
      <c r="AI119" s="553">
        <f t="shared" si="59"/>
        <v>0.33333333333333331</v>
      </c>
    </row>
    <row r="120" spans="1:35" ht="12.75" thickBot="1" x14ac:dyDescent="0.25">
      <c r="A120" s="450" t="s">
        <v>81</v>
      </c>
      <c r="B120" s="157">
        <f>SUM(B112:B119)</f>
        <v>80</v>
      </c>
      <c r="C120" s="157">
        <f t="shared" ref="C120:AD120" si="60">SUM(C112:C119)</f>
        <v>87</v>
      </c>
      <c r="D120" s="157">
        <f t="shared" si="60"/>
        <v>96</v>
      </c>
      <c r="E120" s="157">
        <f t="shared" si="60"/>
        <v>106</v>
      </c>
      <c r="F120" s="157">
        <f t="shared" si="60"/>
        <v>107</v>
      </c>
      <c r="G120" s="157">
        <f t="shared" si="60"/>
        <v>79</v>
      </c>
      <c r="H120" s="157">
        <f t="shared" si="60"/>
        <v>70</v>
      </c>
      <c r="I120" s="157">
        <f t="shared" si="60"/>
        <v>77</v>
      </c>
      <c r="J120" s="157">
        <f t="shared" si="60"/>
        <v>94</v>
      </c>
      <c r="K120" s="157">
        <f t="shared" si="60"/>
        <v>84</v>
      </c>
      <c r="L120" s="157">
        <f t="shared" si="60"/>
        <v>71</v>
      </c>
      <c r="M120" s="157">
        <f t="shared" si="60"/>
        <v>72</v>
      </c>
      <c r="N120" s="157">
        <f t="shared" si="60"/>
        <v>59</v>
      </c>
      <c r="O120" s="157">
        <f t="shared" si="60"/>
        <v>82</v>
      </c>
      <c r="P120" s="296">
        <f t="shared" si="60"/>
        <v>70</v>
      </c>
      <c r="Q120" s="339">
        <f t="shared" si="60"/>
        <v>66</v>
      </c>
      <c r="R120" s="339">
        <f t="shared" si="60"/>
        <v>56</v>
      </c>
      <c r="S120" s="339">
        <f t="shared" si="60"/>
        <v>71</v>
      </c>
      <c r="T120" s="339">
        <f t="shared" si="60"/>
        <v>83</v>
      </c>
      <c r="U120" s="339">
        <f t="shared" si="60"/>
        <v>62</v>
      </c>
      <c r="V120" s="189">
        <f t="shared" si="60"/>
        <v>70</v>
      </c>
      <c r="W120" s="157">
        <f t="shared" si="60"/>
        <v>47</v>
      </c>
      <c r="X120" s="157">
        <f t="shared" si="60"/>
        <v>55</v>
      </c>
      <c r="Y120" s="157">
        <f t="shared" si="60"/>
        <v>67</v>
      </c>
      <c r="Z120" s="157">
        <f t="shared" si="60"/>
        <v>45</v>
      </c>
      <c r="AA120" s="157">
        <f t="shared" si="60"/>
        <v>61</v>
      </c>
      <c r="AB120" s="157">
        <f t="shared" si="60"/>
        <v>68</v>
      </c>
      <c r="AC120" s="157">
        <f t="shared" si="60"/>
        <v>41</v>
      </c>
      <c r="AD120" s="157">
        <f t="shared" si="60"/>
        <v>43</v>
      </c>
      <c r="AE120" s="157">
        <f>SUM(AE112:AE119)</f>
        <v>61</v>
      </c>
      <c r="AF120" s="221">
        <f t="shared" si="56"/>
        <v>0.41860465116279072</v>
      </c>
      <c r="AG120" s="221">
        <f t="shared" si="57"/>
        <v>0.35555555555555557</v>
      </c>
      <c r="AH120" s="221">
        <f t="shared" si="58"/>
        <v>-1.6129032258064516E-2</v>
      </c>
      <c r="AI120" s="157">
        <f t="shared" si="59"/>
        <v>48.333333333333336</v>
      </c>
    </row>
    <row r="121" spans="1:35" ht="12.75" thickTop="1" x14ac:dyDescent="0.2">
      <c r="A121" s="451" t="s">
        <v>94</v>
      </c>
      <c r="B121" s="452"/>
      <c r="C121" s="452"/>
      <c r="D121" s="146"/>
      <c r="E121" s="146"/>
      <c r="F121" s="452"/>
      <c r="G121" s="452"/>
      <c r="H121" s="453"/>
      <c r="I121" s="453"/>
      <c r="J121" s="453"/>
      <c r="K121" s="453"/>
      <c r="L121" s="454"/>
      <c r="M121" s="453"/>
      <c r="N121" s="453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8"/>
      <c r="AA121" s="148"/>
      <c r="AB121" s="148"/>
      <c r="AC121" s="148"/>
      <c r="AD121" s="148"/>
      <c r="AE121" s="148"/>
      <c r="AF121" s="148"/>
      <c r="AG121" s="149"/>
      <c r="AH121" s="148"/>
      <c r="AI121" s="255"/>
    </row>
    <row r="122" spans="1:35" ht="12" x14ac:dyDescent="0.2">
      <c r="A122" s="455" t="s">
        <v>50</v>
      </c>
      <c r="B122" s="150">
        <f t="shared" ref="B122:R122" si="61">+B88+B98</f>
        <v>0</v>
      </c>
      <c r="C122" s="150">
        <f t="shared" si="61"/>
        <v>0</v>
      </c>
      <c r="D122" s="150">
        <f t="shared" si="61"/>
        <v>0</v>
      </c>
      <c r="E122" s="150">
        <f t="shared" si="61"/>
        <v>0</v>
      </c>
      <c r="F122" s="150">
        <f t="shared" si="61"/>
        <v>0</v>
      </c>
      <c r="G122" s="150">
        <f t="shared" si="61"/>
        <v>0</v>
      </c>
      <c r="H122" s="150">
        <f t="shared" si="61"/>
        <v>0</v>
      </c>
      <c r="I122" s="150">
        <f t="shared" si="61"/>
        <v>0</v>
      </c>
      <c r="J122" s="150">
        <f t="shared" si="61"/>
        <v>0</v>
      </c>
      <c r="K122" s="150">
        <f t="shared" si="61"/>
        <v>0</v>
      </c>
      <c r="L122" s="150">
        <f t="shared" si="61"/>
        <v>0</v>
      </c>
      <c r="M122" s="150">
        <f t="shared" si="61"/>
        <v>0</v>
      </c>
      <c r="N122" s="150">
        <f t="shared" si="61"/>
        <v>0</v>
      </c>
      <c r="O122" s="297">
        <f t="shared" si="61"/>
        <v>0</v>
      </c>
      <c r="P122" s="297">
        <f t="shared" si="61"/>
        <v>8</v>
      </c>
      <c r="Q122" s="340">
        <f t="shared" si="61"/>
        <v>7</v>
      </c>
      <c r="R122" s="340">
        <f t="shared" si="61"/>
        <v>8</v>
      </c>
      <c r="S122" s="340">
        <f t="shared" ref="S122:AB122" si="62">+S88+S98+S119</f>
        <v>8</v>
      </c>
      <c r="T122" s="340">
        <f t="shared" si="62"/>
        <v>16</v>
      </c>
      <c r="U122" s="340">
        <f t="shared" si="62"/>
        <v>13</v>
      </c>
      <c r="V122" s="190">
        <f t="shared" si="62"/>
        <v>8</v>
      </c>
      <c r="W122" s="150">
        <f t="shared" si="62"/>
        <v>1</v>
      </c>
      <c r="X122" s="150">
        <f t="shared" si="62"/>
        <v>5</v>
      </c>
      <c r="Y122" s="150">
        <f t="shared" si="62"/>
        <v>21</v>
      </c>
      <c r="Z122" s="150">
        <f t="shared" si="62"/>
        <v>10</v>
      </c>
      <c r="AA122" s="150">
        <f t="shared" si="62"/>
        <v>10</v>
      </c>
      <c r="AB122" s="150">
        <f t="shared" si="62"/>
        <v>3</v>
      </c>
      <c r="AC122" s="150">
        <f>+AC118+AC98+AC88</f>
        <v>12</v>
      </c>
      <c r="AD122" s="150">
        <f>+AD118+AD98+AD88</f>
        <v>0</v>
      </c>
      <c r="AE122" s="158">
        <f>+AE118+AE98+AE88</f>
        <v>1</v>
      </c>
      <c r="AF122" s="152" t="str">
        <f t="shared" ref="AF122:AF127" si="63">IF(AE122=0," ",IF(AI122&gt;20,(AE122-AD122)/AD122," "))</f>
        <v xml:space="preserve"> </v>
      </c>
      <c r="AG122" s="224" t="str">
        <f t="shared" ref="AG122:AG127" si="64">IF(AE122=0," ",IF(AI122&gt;20,(AE122-Z122)/Z122," "))</f>
        <v xml:space="preserve"> </v>
      </c>
      <c r="AH122" s="152" t="str">
        <f t="shared" ref="AH122:AH127" si="65">IF(AE122=0," ",(IF(AI122&gt;20,(AE122-U122)/U122," ")))</f>
        <v xml:space="preserve"> </v>
      </c>
      <c r="AI122" s="248">
        <f t="shared" ref="AI122:AI127" si="66">IF(AC122&gt;0,AVERAGE(AC122:AE122),"  ")</f>
        <v>4.333333333333333</v>
      </c>
    </row>
    <row r="123" spans="1:35" ht="12" x14ac:dyDescent="0.2">
      <c r="A123" s="455" t="s">
        <v>31</v>
      </c>
      <c r="B123" s="151">
        <f t="shared" ref="B123:AE123" si="67">+B83+B82+B89+B97+B99+B100+B103+B104+B105+B113+B114+B115+B116+B110+B94</f>
        <v>138</v>
      </c>
      <c r="C123" s="151">
        <f t="shared" si="67"/>
        <v>137</v>
      </c>
      <c r="D123" s="151">
        <f t="shared" si="67"/>
        <v>158</v>
      </c>
      <c r="E123" s="151">
        <f t="shared" si="67"/>
        <v>163</v>
      </c>
      <c r="F123" s="151">
        <f t="shared" si="67"/>
        <v>178</v>
      </c>
      <c r="G123" s="151">
        <f t="shared" si="67"/>
        <v>142</v>
      </c>
      <c r="H123" s="151">
        <f t="shared" si="67"/>
        <v>136</v>
      </c>
      <c r="I123" s="151">
        <f t="shared" si="67"/>
        <v>155</v>
      </c>
      <c r="J123" s="151">
        <f t="shared" si="67"/>
        <v>194</v>
      </c>
      <c r="K123" s="151">
        <f t="shared" si="67"/>
        <v>207</v>
      </c>
      <c r="L123" s="151">
        <f t="shared" si="67"/>
        <v>190</v>
      </c>
      <c r="M123" s="151">
        <f t="shared" si="67"/>
        <v>209</v>
      </c>
      <c r="N123" s="151">
        <f t="shared" si="67"/>
        <v>170</v>
      </c>
      <c r="O123" s="298">
        <f t="shared" si="67"/>
        <v>222</v>
      </c>
      <c r="P123" s="298">
        <f t="shared" si="67"/>
        <v>209</v>
      </c>
      <c r="Q123" s="341">
        <f t="shared" si="67"/>
        <v>213</v>
      </c>
      <c r="R123" s="341">
        <f t="shared" si="67"/>
        <v>225</v>
      </c>
      <c r="S123" s="341">
        <f t="shared" si="67"/>
        <v>245</v>
      </c>
      <c r="T123" s="341">
        <f t="shared" si="67"/>
        <v>281</v>
      </c>
      <c r="U123" s="341">
        <f t="shared" si="67"/>
        <v>258</v>
      </c>
      <c r="V123" s="191">
        <f t="shared" si="67"/>
        <v>262</v>
      </c>
      <c r="W123" s="151">
        <f t="shared" si="67"/>
        <v>271</v>
      </c>
      <c r="X123" s="151">
        <f t="shared" si="67"/>
        <v>308</v>
      </c>
      <c r="Y123" s="151">
        <f t="shared" si="67"/>
        <v>323</v>
      </c>
      <c r="Z123" s="151">
        <f t="shared" si="67"/>
        <v>323</v>
      </c>
      <c r="AA123" s="151">
        <f t="shared" si="67"/>
        <v>324</v>
      </c>
      <c r="AB123" s="151">
        <f t="shared" si="67"/>
        <v>349</v>
      </c>
      <c r="AC123" s="151">
        <f t="shared" si="67"/>
        <v>331</v>
      </c>
      <c r="AD123" s="151">
        <f t="shared" si="67"/>
        <v>287</v>
      </c>
      <c r="AE123" s="159">
        <f t="shared" si="67"/>
        <v>277</v>
      </c>
      <c r="AF123" s="153">
        <f t="shared" si="63"/>
        <v>-3.484320557491289E-2</v>
      </c>
      <c r="AG123" s="225">
        <f t="shared" si="64"/>
        <v>-0.14241486068111456</v>
      </c>
      <c r="AH123" s="153">
        <f t="shared" si="65"/>
        <v>7.3643410852713184E-2</v>
      </c>
      <c r="AI123" s="249">
        <f t="shared" si="66"/>
        <v>298.33333333333331</v>
      </c>
    </row>
    <row r="124" spans="1:35" ht="12" x14ac:dyDescent="0.2">
      <c r="A124" s="455" t="s">
        <v>92</v>
      </c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298"/>
      <c r="P124" s="298"/>
      <c r="Q124" s="341"/>
      <c r="R124" s="341">
        <v>0</v>
      </c>
      <c r="S124" s="341">
        <f t="shared" ref="S124:AB124" si="68">+S119+S117</f>
        <v>0</v>
      </c>
      <c r="T124" s="341">
        <f t="shared" si="68"/>
        <v>0</v>
      </c>
      <c r="U124" s="341">
        <f t="shared" si="68"/>
        <v>0</v>
      </c>
      <c r="V124" s="191">
        <f t="shared" si="68"/>
        <v>0</v>
      </c>
      <c r="W124" s="151">
        <f t="shared" si="68"/>
        <v>0</v>
      </c>
      <c r="X124" s="151">
        <f t="shared" si="68"/>
        <v>0</v>
      </c>
      <c r="Y124" s="151">
        <f t="shared" si="68"/>
        <v>0</v>
      </c>
      <c r="Z124" s="151">
        <f t="shared" si="68"/>
        <v>1</v>
      </c>
      <c r="AA124" s="151">
        <f t="shared" si="68"/>
        <v>2</v>
      </c>
      <c r="AB124" s="151">
        <f t="shared" si="68"/>
        <v>12</v>
      </c>
      <c r="AC124" s="151">
        <f>+AC119+AC117</f>
        <v>5</v>
      </c>
      <c r="AD124" s="151">
        <f>+AD119+AD117</f>
        <v>3</v>
      </c>
      <c r="AE124" s="159">
        <f>+AE119+AE117</f>
        <v>5</v>
      </c>
      <c r="AF124" s="153" t="str">
        <f t="shared" si="63"/>
        <v xml:space="preserve"> </v>
      </c>
      <c r="AG124" s="225" t="str">
        <f t="shared" si="64"/>
        <v xml:space="preserve"> </v>
      </c>
      <c r="AH124" s="153" t="str">
        <f t="shared" si="65"/>
        <v xml:space="preserve"> </v>
      </c>
      <c r="AI124" s="249">
        <f t="shared" si="66"/>
        <v>4.333333333333333</v>
      </c>
    </row>
    <row r="125" spans="1:35" ht="12" x14ac:dyDescent="0.2">
      <c r="A125" s="455" t="s">
        <v>93</v>
      </c>
      <c r="B125" s="151">
        <f t="shared" ref="B125:AE125" si="69">+B86+B112</f>
        <v>0</v>
      </c>
      <c r="C125" s="151">
        <f t="shared" si="69"/>
        <v>0</v>
      </c>
      <c r="D125" s="151">
        <f t="shared" si="69"/>
        <v>0</v>
      </c>
      <c r="E125" s="151">
        <f t="shared" si="69"/>
        <v>0</v>
      </c>
      <c r="F125" s="151">
        <f t="shared" si="69"/>
        <v>0</v>
      </c>
      <c r="G125" s="151">
        <f t="shared" si="69"/>
        <v>0</v>
      </c>
      <c r="H125" s="151">
        <f t="shared" si="69"/>
        <v>0</v>
      </c>
      <c r="I125" s="151">
        <f t="shared" si="69"/>
        <v>0</v>
      </c>
      <c r="J125" s="151">
        <f t="shared" si="69"/>
        <v>0</v>
      </c>
      <c r="K125" s="151">
        <f t="shared" si="69"/>
        <v>0</v>
      </c>
      <c r="L125" s="151">
        <f t="shared" si="69"/>
        <v>0</v>
      </c>
      <c r="M125" s="151">
        <f t="shared" si="69"/>
        <v>0</v>
      </c>
      <c r="N125" s="151">
        <f t="shared" si="69"/>
        <v>0</v>
      </c>
      <c r="O125" s="298">
        <f t="shared" si="69"/>
        <v>0</v>
      </c>
      <c r="P125" s="298">
        <f t="shared" si="69"/>
        <v>0</v>
      </c>
      <c r="Q125" s="341">
        <f t="shared" si="69"/>
        <v>0</v>
      </c>
      <c r="R125" s="341">
        <f t="shared" si="69"/>
        <v>0</v>
      </c>
      <c r="S125" s="341">
        <f t="shared" si="69"/>
        <v>0</v>
      </c>
      <c r="T125" s="341">
        <f t="shared" si="69"/>
        <v>0</v>
      </c>
      <c r="U125" s="341">
        <f t="shared" si="69"/>
        <v>0</v>
      </c>
      <c r="V125" s="191">
        <f t="shared" si="69"/>
        <v>8</v>
      </c>
      <c r="W125" s="151">
        <f t="shared" si="69"/>
        <v>0</v>
      </c>
      <c r="X125" s="151">
        <f t="shared" si="69"/>
        <v>1</v>
      </c>
      <c r="Y125" s="151">
        <f t="shared" si="69"/>
        <v>13</v>
      </c>
      <c r="Z125" s="151">
        <f t="shared" si="69"/>
        <v>7</v>
      </c>
      <c r="AA125" s="151">
        <f t="shared" si="69"/>
        <v>15</v>
      </c>
      <c r="AB125" s="151">
        <f t="shared" si="69"/>
        <v>9</v>
      </c>
      <c r="AC125" s="151">
        <f t="shared" si="69"/>
        <v>18</v>
      </c>
      <c r="AD125" s="151">
        <f t="shared" si="69"/>
        <v>13</v>
      </c>
      <c r="AE125" s="159">
        <f t="shared" si="69"/>
        <v>13</v>
      </c>
      <c r="AF125" s="153" t="str">
        <f t="shared" si="63"/>
        <v xml:space="preserve"> </v>
      </c>
      <c r="AG125" s="225" t="str">
        <f t="shared" si="64"/>
        <v xml:space="preserve"> </v>
      </c>
      <c r="AH125" s="153" t="str">
        <f t="shared" si="65"/>
        <v xml:space="preserve"> </v>
      </c>
      <c r="AI125" s="249">
        <f t="shared" si="66"/>
        <v>14.666666666666666</v>
      </c>
    </row>
    <row r="126" spans="1:35" ht="12" x14ac:dyDescent="0.2">
      <c r="A126" s="455" t="s">
        <v>126</v>
      </c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298"/>
      <c r="P126" s="298"/>
      <c r="Q126" s="341"/>
      <c r="R126" s="341"/>
      <c r="S126" s="341"/>
      <c r="T126" s="341"/>
      <c r="U126" s="341">
        <f t="shared" ref="U126:AD126" si="70">U87</f>
        <v>0</v>
      </c>
      <c r="V126" s="191">
        <f t="shared" si="70"/>
        <v>0</v>
      </c>
      <c r="W126" s="151">
        <f t="shared" si="70"/>
        <v>0</v>
      </c>
      <c r="X126" s="151">
        <f t="shared" si="70"/>
        <v>0</v>
      </c>
      <c r="Y126" s="151">
        <f t="shared" si="70"/>
        <v>0</v>
      </c>
      <c r="Z126" s="151">
        <f t="shared" si="70"/>
        <v>0</v>
      </c>
      <c r="AA126" s="151">
        <f t="shared" si="70"/>
        <v>0</v>
      </c>
      <c r="AB126" s="151">
        <f t="shared" si="70"/>
        <v>0</v>
      </c>
      <c r="AC126" s="151">
        <f t="shared" si="70"/>
        <v>0</v>
      </c>
      <c r="AD126" s="151">
        <f t="shared" si="70"/>
        <v>0</v>
      </c>
      <c r="AE126" s="159">
        <f>AE87</f>
        <v>1</v>
      </c>
      <c r="AF126" s="495"/>
      <c r="AG126" s="225"/>
      <c r="AH126" s="496"/>
      <c r="AI126" s="249"/>
    </row>
    <row r="127" spans="1:35" ht="13.5" thickBot="1" x14ac:dyDescent="0.25">
      <c r="A127" s="425" t="s">
        <v>95</v>
      </c>
      <c r="B127" s="160">
        <f t="shared" ref="B127:T127" si="71">+B125+B124+B122+B123</f>
        <v>138</v>
      </c>
      <c r="C127" s="160">
        <f t="shared" si="71"/>
        <v>137</v>
      </c>
      <c r="D127" s="160">
        <f t="shared" si="71"/>
        <v>158</v>
      </c>
      <c r="E127" s="160">
        <f t="shared" si="71"/>
        <v>163</v>
      </c>
      <c r="F127" s="160">
        <f t="shared" si="71"/>
        <v>178</v>
      </c>
      <c r="G127" s="160">
        <f t="shared" si="71"/>
        <v>142</v>
      </c>
      <c r="H127" s="160">
        <f t="shared" si="71"/>
        <v>136</v>
      </c>
      <c r="I127" s="160">
        <f t="shared" si="71"/>
        <v>155</v>
      </c>
      <c r="J127" s="160">
        <f t="shared" si="71"/>
        <v>194</v>
      </c>
      <c r="K127" s="160">
        <f t="shared" si="71"/>
        <v>207</v>
      </c>
      <c r="L127" s="160">
        <f t="shared" si="71"/>
        <v>190</v>
      </c>
      <c r="M127" s="160">
        <f t="shared" si="71"/>
        <v>209</v>
      </c>
      <c r="N127" s="160">
        <f t="shared" si="71"/>
        <v>170</v>
      </c>
      <c r="O127" s="285">
        <f t="shared" si="71"/>
        <v>222</v>
      </c>
      <c r="P127" s="285">
        <f t="shared" si="71"/>
        <v>217</v>
      </c>
      <c r="Q127" s="331">
        <f t="shared" si="71"/>
        <v>220</v>
      </c>
      <c r="R127" s="331">
        <f t="shared" si="71"/>
        <v>233</v>
      </c>
      <c r="S127" s="331">
        <f t="shared" si="71"/>
        <v>253</v>
      </c>
      <c r="T127" s="331">
        <f t="shared" si="71"/>
        <v>297</v>
      </c>
      <c r="U127" s="331">
        <f t="shared" ref="U127:AD127" si="72">+U126+U125+U124+U122+U123</f>
        <v>271</v>
      </c>
      <c r="V127" s="184">
        <f t="shared" si="72"/>
        <v>278</v>
      </c>
      <c r="W127" s="31">
        <f t="shared" si="72"/>
        <v>272</v>
      </c>
      <c r="X127" s="31">
        <f t="shared" si="72"/>
        <v>314</v>
      </c>
      <c r="Y127" s="31">
        <f t="shared" si="72"/>
        <v>357</v>
      </c>
      <c r="Z127" s="31">
        <f t="shared" si="72"/>
        <v>341</v>
      </c>
      <c r="AA127" s="31">
        <f t="shared" si="72"/>
        <v>351</v>
      </c>
      <c r="AB127" s="31">
        <f t="shared" si="72"/>
        <v>373</v>
      </c>
      <c r="AC127" s="31">
        <f t="shared" si="72"/>
        <v>366</v>
      </c>
      <c r="AD127" s="31">
        <f t="shared" si="72"/>
        <v>303</v>
      </c>
      <c r="AE127" s="160">
        <f>+AE126+AE125+AE124+AE122+AE123</f>
        <v>297</v>
      </c>
      <c r="AF127" s="222">
        <f t="shared" si="63"/>
        <v>-1.9801980198019802E-2</v>
      </c>
      <c r="AG127" s="219">
        <f t="shared" si="64"/>
        <v>-0.12903225806451613</v>
      </c>
      <c r="AH127" s="223">
        <f t="shared" si="65"/>
        <v>9.5940959409594101E-2</v>
      </c>
      <c r="AI127" s="31">
        <f t="shared" si="66"/>
        <v>322</v>
      </c>
    </row>
    <row r="128" spans="1:35" ht="12.75" thickTop="1" thickBot="1" x14ac:dyDescent="0.25">
      <c r="AF128" s="360"/>
    </row>
    <row r="129" spans="1:43" ht="14.25" thickTop="1" thickBot="1" x14ac:dyDescent="0.25">
      <c r="A129" s="460" t="s">
        <v>96</v>
      </c>
      <c r="B129" s="154">
        <f t="shared" ref="B129:AE129" si="73">+B127+B73</f>
        <v>1144</v>
      </c>
      <c r="C129" s="154">
        <f t="shared" si="73"/>
        <v>1210</v>
      </c>
      <c r="D129" s="154">
        <f t="shared" si="73"/>
        <v>1293</v>
      </c>
      <c r="E129" s="154">
        <f t="shared" si="73"/>
        <v>1348</v>
      </c>
      <c r="F129" s="154">
        <f t="shared" si="73"/>
        <v>1285</v>
      </c>
      <c r="G129" s="154">
        <f t="shared" si="73"/>
        <v>1133</v>
      </c>
      <c r="H129" s="154">
        <f t="shared" si="73"/>
        <v>1352</v>
      </c>
      <c r="I129" s="154">
        <f t="shared" si="73"/>
        <v>1386</v>
      </c>
      <c r="J129" s="154">
        <f t="shared" si="73"/>
        <v>1546</v>
      </c>
      <c r="K129" s="154">
        <f t="shared" si="73"/>
        <v>1506</v>
      </c>
      <c r="L129" s="154">
        <f t="shared" si="73"/>
        <v>1503</v>
      </c>
      <c r="M129" s="154">
        <f t="shared" si="73"/>
        <v>1609</v>
      </c>
      <c r="N129" s="154">
        <f t="shared" si="73"/>
        <v>1609</v>
      </c>
      <c r="O129" s="299">
        <f t="shared" si="73"/>
        <v>1775</v>
      </c>
      <c r="P129" s="299">
        <f t="shared" si="73"/>
        <v>1825</v>
      </c>
      <c r="Q129" s="342">
        <f t="shared" si="73"/>
        <v>1881</v>
      </c>
      <c r="R129" s="342">
        <f t="shared" si="73"/>
        <v>1942</v>
      </c>
      <c r="S129" s="342">
        <f t="shared" si="73"/>
        <v>2040</v>
      </c>
      <c r="T129" s="342">
        <f t="shared" si="73"/>
        <v>2169</v>
      </c>
      <c r="U129" s="342">
        <f t="shared" si="73"/>
        <v>2170</v>
      </c>
      <c r="V129" s="192">
        <f t="shared" si="73"/>
        <v>2213</v>
      </c>
      <c r="W129" s="154">
        <f t="shared" si="73"/>
        <v>2239</v>
      </c>
      <c r="X129" s="154">
        <f t="shared" si="73"/>
        <v>2340</v>
      </c>
      <c r="Y129" s="154">
        <f t="shared" si="73"/>
        <v>2229</v>
      </c>
      <c r="Z129" s="154">
        <f t="shared" si="73"/>
        <v>2146</v>
      </c>
      <c r="AA129" s="154">
        <f t="shared" si="73"/>
        <v>2258</v>
      </c>
      <c r="AB129" s="154">
        <f t="shared" si="73"/>
        <v>2215</v>
      </c>
      <c r="AC129" s="154">
        <f t="shared" si="73"/>
        <v>2030</v>
      </c>
      <c r="AD129" s="154">
        <f t="shared" si="73"/>
        <v>1908</v>
      </c>
      <c r="AE129" s="161">
        <f t="shared" si="73"/>
        <v>1765</v>
      </c>
      <c r="AF129" s="251">
        <f t="shared" ref="AF129" si="74">IF(AE129=0," ",IF(AI129&gt;20,(AE129-AD129)/AD129," "))</f>
        <v>-7.4947589098532497E-2</v>
      </c>
      <c r="AG129" s="220">
        <f t="shared" ref="AG129" si="75">IF(AE129=0," ",IF(AI129&gt;20,(AE129-Z129)/Z129," "))</f>
        <v>-0.17753960857409135</v>
      </c>
      <c r="AH129" s="252">
        <f t="shared" ref="AH129" si="76">IF(AE129=0," ",(IF(AI129&gt;20,(AE129-U129)/U129," ")))</f>
        <v>-0.18663594470046083</v>
      </c>
      <c r="AI129" s="253">
        <f>IF(AC129&gt;0,AVERAGE(AC129:AE129),"  ")</f>
        <v>1901</v>
      </c>
      <c r="AJ129" s="155"/>
      <c r="AK129" s="155"/>
      <c r="AL129" s="382"/>
      <c r="AM129" s="382"/>
      <c r="AN129" s="382"/>
      <c r="AO129" s="382"/>
      <c r="AP129" s="382"/>
      <c r="AQ129" s="382"/>
    </row>
    <row r="130" spans="1:43" ht="12.75" thickTop="1" x14ac:dyDescent="0.2">
      <c r="AJ130" s="155"/>
      <c r="AK130" s="155"/>
      <c r="AL130" s="382"/>
      <c r="AM130" s="382"/>
      <c r="AN130" s="382"/>
      <c r="AO130" s="382"/>
      <c r="AP130" s="382"/>
      <c r="AQ130" s="382"/>
    </row>
    <row r="131" spans="1:43" ht="12" thickBot="1" x14ac:dyDescent="0.25"/>
    <row r="132" spans="1:43" ht="12.75" thickTop="1" x14ac:dyDescent="0.2">
      <c r="A132" s="461" t="s">
        <v>103</v>
      </c>
      <c r="B132" s="462"/>
      <c r="C132" s="462"/>
      <c r="D132" s="301"/>
      <c r="E132" s="301"/>
      <c r="F132" s="462"/>
      <c r="G132" s="462"/>
      <c r="H132" s="463"/>
      <c r="I132" s="463"/>
      <c r="J132" s="463"/>
      <c r="K132" s="463"/>
      <c r="L132" s="464"/>
      <c r="M132" s="463"/>
      <c r="N132" s="463"/>
      <c r="O132" s="302"/>
      <c r="P132" s="302"/>
      <c r="Q132" s="302"/>
      <c r="R132" s="302"/>
      <c r="S132" s="302"/>
      <c r="T132" s="302"/>
      <c r="U132" s="302"/>
      <c r="V132" s="302"/>
      <c r="W132" s="302"/>
      <c r="X132" s="302"/>
      <c r="Y132" s="302"/>
      <c r="Z132" s="303"/>
      <c r="AA132" s="303"/>
      <c r="AB132" s="303"/>
      <c r="AC132" s="303"/>
      <c r="AD132" s="303"/>
      <c r="AE132" s="303"/>
      <c r="AF132" s="303"/>
      <c r="AG132" s="304"/>
      <c r="AH132" s="303"/>
      <c r="AI132" s="305"/>
    </row>
    <row r="133" spans="1:43" ht="12.75" thickBot="1" x14ac:dyDescent="0.25">
      <c r="A133" s="465" t="s">
        <v>175</v>
      </c>
      <c r="B133" s="306"/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7"/>
      <c r="P133" s="307"/>
      <c r="Q133" s="343"/>
      <c r="R133" s="343">
        <v>0</v>
      </c>
      <c r="S133" s="343"/>
      <c r="T133" s="343">
        <v>0</v>
      </c>
      <c r="U133" s="343">
        <v>0</v>
      </c>
      <c r="V133" s="308"/>
      <c r="W133" s="306"/>
      <c r="X133" s="306"/>
      <c r="Y133" s="306">
        <v>1</v>
      </c>
      <c r="Z133" s="306">
        <v>9</v>
      </c>
      <c r="AA133" s="306">
        <v>4</v>
      </c>
      <c r="AB133" s="306">
        <v>17</v>
      </c>
      <c r="AC133" s="306">
        <v>10</v>
      </c>
      <c r="AD133" s="306">
        <v>14</v>
      </c>
      <c r="AE133" s="309">
        <v>12</v>
      </c>
      <c r="AF133" s="310" t="str">
        <f t="shared" ref="AF133" si="77">IF(AE133=0," ",IF(AI133&gt;20,(AE133-AD133)/AD133," "))</f>
        <v xml:space="preserve"> </v>
      </c>
      <c r="AG133" s="311" t="str">
        <f t="shared" ref="AG133" si="78">IF(AE133=0," ",IF(AI133&gt;20,(AE133-Z133)/Z133," "))</f>
        <v xml:space="preserve"> </v>
      </c>
      <c r="AH133" s="310" t="str">
        <f t="shared" ref="AH133" si="79">IF(AE133=0," ",(IF(AI133&gt;20,(AE133-U133)/U133," ")))</f>
        <v xml:space="preserve"> </v>
      </c>
      <c r="AI133" s="312">
        <f>IF(AC133&gt;0,AVERAGE(AC133:AE133),"  ")</f>
        <v>12</v>
      </c>
    </row>
    <row r="134" spans="1:43" ht="12.75" thickTop="1" x14ac:dyDescent="0.2">
      <c r="T134" s="466"/>
      <c r="U134" s="466"/>
      <c r="V134" s="466"/>
      <c r="W134" s="466"/>
      <c r="X134" s="466"/>
      <c r="Y134" s="467"/>
      <c r="Z134" s="468"/>
      <c r="AA134" s="468"/>
      <c r="AB134" s="468"/>
      <c r="AC134" s="468"/>
      <c r="AD134" s="468"/>
      <c r="AE134" s="468"/>
      <c r="AF134" s="469"/>
      <c r="AG134" s="469"/>
      <c r="AH134" s="3"/>
    </row>
    <row r="135" spans="1:43" ht="12.75" thickBot="1" x14ac:dyDescent="0.25">
      <c r="T135" s="466"/>
      <c r="U135" s="466"/>
      <c r="V135" s="466"/>
      <c r="W135" s="466"/>
      <c r="X135" s="466"/>
      <c r="Y135" s="467"/>
      <c r="Z135" s="467"/>
      <c r="AA135" s="467"/>
      <c r="AB135" s="467"/>
      <c r="AC135" s="467"/>
      <c r="AD135" s="467"/>
      <c r="AE135" s="467"/>
      <c r="AF135" s="469"/>
      <c r="AG135" s="469"/>
      <c r="AH135" s="3"/>
    </row>
    <row r="136" spans="1:43" ht="11.25" customHeight="1" x14ac:dyDescent="0.2">
      <c r="P136" s="344"/>
      <c r="Q136" s="470"/>
      <c r="R136" s="470"/>
      <c r="T136" s="459"/>
      <c r="Z136" s="626" t="s">
        <v>123</v>
      </c>
      <c r="AA136" s="627"/>
      <c r="AB136" s="627"/>
      <c r="AC136" s="627"/>
      <c r="AD136" s="627"/>
      <c r="AE136" s="627"/>
      <c r="AF136" s="627"/>
      <c r="AG136" s="627"/>
      <c r="AH136" s="628"/>
      <c r="AJ136" s="382"/>
      <c r="AK136" s="382"/>
      <c r="AL136" s="382"/>
      <c r="AM136" s="382"/>
      <c r="AN136" s="382"/>
      <c r="AO136" s="382"/>
      <c r="AP136" s="382"/>
      <c r="AQ136" s="382"/>
    </row>
    <row r="137" spans="1:43" ht="22.5" customHeight="1" x14ac:dyDescent="0.2">
      <c r="P137" s="344"/>
      <c r="Q137" s="470"/>
      <c r="R137" s="470"/>
      <c r="Z137" s="629" t="s">
        <v>172</v>
      </c>
      <c r="AA137" s="630"/>
      <c r="AB137" s="631"/>
      <c r="AC137" s="632" t="s">
        <v>114</v>
      </c>
      <c r="AD137" s="633"/>
      <c r="AE137" s="633"/>
      <c r="AF137" s="634" t="s">
        <v>53</v>
      </c>
      <c r="AG137" s="630"/>
      <c r="AH137" s="635"/>
      <c r="AJ137" s="382"/>
      <c r="AK137" s="382"/>
      <c r="AL137" s="382"/>
      <c r="AM137" s="382"/>
      <c r="AN137" s="382"/>
      <c r="AO137" s="382"/>
      <c r="AP137" s="382"/>
      <c r="AQ137" s="382"/>
    </row>
    <row r="138" spans="1:43" ht="12" customHeight="1" x14ac:dyDescent="0.2">
      <c r="P138" s="344"/>
      <c r="Q138" s="470"/>
      <c r="R138" s="470"/>
      <c r="Z138" s="471" t="s">
        <v>178</v>
      </c>
      <c r="AA138" s="364"/>
      <c r="AB138" s="472"/>
      <c r="AC138" s="473"/>
      <c r="AD138" s="474"/>
      <c r="AE138" s="474"/>
      <c r="AF138" s="475"/>
      <c r="AG138" s="476"/>
      <c r="AH138" s="477"/>
      <c r="AJ138" s="382"/>
      <c r="AK138" s="382"/>
      <c r="AL138" s="382"/>
      <c r="AM138" s="382"/>
      <c r="AN138" s="382"/>
      <c r="AO138" s="382"/>
      <c r="AP138" s="382"/>
      <c r="AQ138" s="382"/>
    </row>
    <row r="139" spans="1:43" ht="11.25" customHeight="1" x14ac:dyDescent="0.2">
      <c r="P139" s="344"/>
      <c r="Q139" s="470"/>
      <c r="R139" s="470"/>
      <c r="Z139" s="471" t="s">
        <v>25</v>
      </c>
      <c r="AA139" s="364"/>
      <c r="AB139" s="472"/>
      <c r="AC139" s="478"/>
      <c r="AD139" s="479"/>
      <c r="AE139" s="479"/>
      <c r="AF139" s="478"/>
      <c r="AG139" s="479"/>
      <c r="AH139" s="480"/>
      <c r="AJ139" s="382"/>
      <c r="AK139" s="382"/>
      <c r="AL139" s="382"/>
      <c r="AM139" s="382"/>
      <c r="AN139" s="382"/>
      <c r="AO139" s="382"/>
      <c r="AP139" s="382"/>
      <c r="AQ139" s="382"/>
    </row>
    <row r="140" spans="1:43" ht="11.25" customHeight="1" x14ac:dyDescent="0.2">
      <c r="P140" s="344"/>
      <c r="Q140" s="470"/>
      <c r="R140" s="470"/>
      <c r="Z140" s="471" t="s">
        <v>27</v>
      </c>
      <c r="AA140" s="364"/>
      <c r="AB140" s="472"/>
      <c r="AC140" s="481"/>
      <c r="AD140" s="482"/>
      <c r="AE140" s="482"/>
      <c r="AF140" s="481"/>
      <c r="AG140" s="482"/>
      <c r="AH140" s="375"/>
      <c r="AJ140" s="382"/>
      <c r="AK140" s="382"/>
      <c r="AL140" s="382"/>
      <c r="AM140" s="382"/>
      <c r="AN140" s="382"/>
      <c r="AO140" s="382"/>
      <c r="AP140" s="382"/>
      <c r="AQ140" s="382"/>
    </row>
    <row r="141" spans="1:43" x14ac:dyDescent="0.2">
      <c r="P141" s="344"/>
      <c r="Q141" s="470"/>
      <c r="R141" s="470"/>
      <c r="Z141" s="471" t="s">
        <v>17</v>
      </c>
      <c r="AA141" s="364"/>
      <c r="AB141" s="472"/>
      <c r="AC141" s="478"/>
      <c r="AD141" s="479"/>
      <c r="AE141" s="479"/>
      <c r="AF141" s="478"/>
      <c r="AG141" s="482"/>
      <c r="AH141" s="375"/>
      <c r="AJ141" s="382"/>
      <c r="AK141" s="382"/>
      <c r="AL141" s="382"/>
      <c r="AM141" s="382"/>
      <c r="AN141" s="382"/>
      <c r="AO141" s="382"/>
      <c r="AP141" s="382"/>
      <c r="AQ141" s="382"/>
    </row>
    <row r="142" spans="1:43" ht="12" thickBot="1" x14ac:dyDescent="0.25">
      <c r="P142" s="344"/>
      <c r="Q142" s="470"/>
      <c r="R142" s="470"/>
      <c r="Z142" s="483" t="s">
        <v>11</v>
      </c>
      <c r="AA142" s="365"/>
      <c r="AB142" s="484"/>
      <c r="AC142" s="485"/>
      <c r="AD142" s="486"/>
      <c r="AE142" s="486"/>
      <c r="AF142" s="485"/>
      <c r="AG142" s="487"/>
      <c r="AH142" s="376"/>
      <c r="AJ142" s="382"/>
      <c r="AK142" s="382"/>
      <c r="AL142" s="382"/>
      <c r="AM142" s="382"/>
      <c r="AN142" s="382"/>
      <c r="AO142" s="382"/>
      <c r="AP142" s="382"/>
      <c r="AQ142" s="382"/>
    </row>
    <row r="143" spans="1:43" x14ac:dyDescent="0.2">
      <c r="P143" s="344"/>
      <c r="Q143" s="470"/>
      <c r="R143" s="470"/>
      <c r="Z143" s="488"/>
      <c r="AA143" s="489"/>
      <c r="AB143" s="490"/>
      <c r="AC143" s="491"/>
      <c r="AD143" s="491"/>
      <c r="AE143" s="491"/>
      <c r="AF143" s="503" t="s">
        <v>171</v>
      </c>
      <c r="AG143" s="491"/>
      <c r="AH143" s="491"/>
      <c r="AI143" s="491"/>
      <c r="AO143" s="382"/>
      <c r="AP143" s="382"/>
      <c r="AQ143" s="382"/>
    </row>
    <row r="144" spans="1:43" ht="13.5" x14ac:dyDescent="0.25">
      <c r="A144" s="497" t="s">
        <v>127</v>
      </c>
      <c r="P144" s="344"/>
      <c r="Q144" s="470"/>
      <c r="R144" s="470"/>
      <c r="Z144" s="382"/>
      <c r="AB144" s="490"/>
      <c r="AC144" s="491"/>
      <c r="AD144" s="491"/>
      <c r="AE144" s="491"/>
      <c r="AF144" s="548" t="s">
        <v>170</v>
      </c>
      <c r="AG144" s="491"/>
      <c r="AH144" s="491"/>
      <c r="AI144" s="491"/>
      <c r="AO144" s="382"/>
      <c r="AP144" s="382"/>
      <c r="AQ144" s="382"/>
    </row>
    <row r="145" spans="1:43" x14ac:dyDescent="0.2">
      <c r="A145" s="374" t="s">
        <v>130</v>
      </c>
      <c r="Z145" s="382"/>
      <c r="AA145" s="382"/>
      <c r="AB145" s="492"/>
      <c r="AC145" s="493"/>
      <c r="AD145" s="493"/>
      <c r="AE145" s="493"/>
      <c r="AF145" s="493"/>
      <c r="AG145" s="493"/>
      <c r="AH145" s="493"/>
      <c r="AI145" s="493"/>
      <c r="AJ145" s="493"/>
      <c r="AK145" s="493"/>
      <c r="AQ145" s="382"/>
    </row>
    <row r="146" spans="1:43" x14ac:dyDescent="0.2">
      <c r="A146" s="503" t="s">
        <v>132</v>
      </c>
      <c r="Z146" s="382"/>
      <c r="AA146" s="382"/>
      <c r="AB146" s="382"/>
      <c r="AC146" s="494"/>
      <c r="AD146" s="494"/>
      <c r="AE146" s="494"/>
      <c r="AF146" s="494"/>
      <c r="AG146" s="494"/>
      <c r="AH146" s="494"/>
      <c r="AI146" s="494"/>
      <c r="AJ146" s="494"/>
      <c r="AK146" s="494"/>
      <c r="AQ146" s="382"/>
    </row>
    <row r="147" spans="1:43" ht="14.25" x14ac:dyDescent="0.2">
      <c r="A147" s="504" t="s">
        <v>133</v>
      </c>
      <c r="T147" s="382"/>
      <c r="U147" s="2"/>
      <c r="V147" s="382"/>
      <c r="W147" s="1"/>
      <c r="X147" s="1"/>
    </row>
    <row r="148" spans="1:43" ht="15" x14ac:dyDescent="0.25">
      <c r="A148" s="504" t="s">
        <v>134</v>
      </c>
      <c r="T148" s="254"/>
      <c r="U148" s="254"/>
      <c r="V148" s="254"/>
      <c r="W148" s="254"/>
      <c r="X148" s="254"/>
    </row>
    <row r="149" spans="1:43" x14ac:dyDescent="0.2">
      <c r="A149" s="503" t="s">
        <v>131</v>
      </c>
    </row>
    <row r="150" spans="1:43" x14ac:dyDescent="0.2">
      <c r="A150" s="505" t="s">
        <v>138</v>
      </c>
    </row>
  </sheetData>
  <mergeCells count="21">
    <mergeCell ref="A85:AI85"/>
    <mergeCell ref="A91:AI91"/>
    <mergeCell ref="Z136:AH136"/>
    <mergeCell ref="Z137:AB137"/>
    <mergeCell ref="AC137:AE137"/>
    <mergeCell ref="AF137:AH137"/>
    <mergeCell ref="A5:AI5"/>
    <mergeCell ref="A6:AI6"/>
    <mergeCell ref="A7:AI7"/>
    <mergeCell ref="A75:AI75"/>
    <mergeCell ref="A77:A78"/>
    <mergeCell ref="AF77:AF78"/>
    <mergeCell ref="AG77:AG78"/>
    <mergeCell ref="AH77:AH78"/>
    <mergeCell ref="AI77:AI78"/>
    <mergeCell ref="A1:AI1"/>
    <mergeCell ref="A3:A4"/>
    <mergeCell ref="AF3:AF4"/>
    <mergeCell ref="AG3:AG4"/>
    <mergeCell ref="AH3:AH4"/>
    <mergeCell ref="AI3:AI4"/>
  </mergeCells>
  <printOptions horizontalCentered="1"/>
  <pageMargins left="0.5" right="0.5" top="0.48" bottom="0.5" header="0.5" footer="0.25"/>
  <pageSetup scale="77" orientation="portrait" r:id="rId1"/>
  <headerFooter alignWithMargins="0">
    <oddFooter>&amp;L&amp;"Times New Roman,Regular"&amp;9Source: MHEC DIS&amp;C&amp;"Times New Roman,Regular"&amp;10C-6.0</oddFooter>
  </headerFooter>
  <rowBreaks count="1" manualBreakCount="1">
    <brk id="74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3C9F9-18CE-425C-A13E-5F2E706C5AB4}">
  <dimension ref="A1:FN74"/>
  <sheetViews>
    <sheetView showGridLines="0" topLeftCell="A37" zoomScaleNormal="100" workbookViewId="0">
      <selection activeCell="AL12" sqref="AL12"/>
    </sheetView>
  </sheetViews>
  <sheetFormatPr defaultColWidth="10.6640625" defaultRowHeight="11.25" x14ac:dyDescent="0.2"/>
  <cols>
    <col min="1" max="1" width="45.83203125" style="360" customWidth="1"/>
    <col min="2" max="9" width="7.5" style="360" hidden="1" customWidth="1"/>
    <col min="10" max="10" width="7.5" style="456" hidden="1" customWidth="1"/>
    <col min="11" max="11" width="7.5" style="457" hidden="1" customWidth="1"/>
    <col min="12" max="15" width="7.5" style="456" hidden="1" customWidth="1"/>
    <col min="16" max="16" width="7.5" style="99" hidden="1" customWidth="1"/>
    <col min="17" max="17" width="7.5" style="458" hidden="1" customWidth="1"/>
    <col min="18" max="18" width="7.33203125" style="458" hidden="1" customWidth="1"/>
    <col min="19" max="19" width="8.33203125" style="459" hidden="1" customWidth="1"/>
    <col min="20" max="20" width="8.33203125" style="458" hidden="1" customWidth="1"/>
    <col min="21" max="21" width="8.1640625" style="458" customWidth="1"/>
    <col min="22" max="24" width="8.1640625" style="458" hidden="1" customWidth="1"/>
    <col min="25" max="25" width="2.5" style="458" hidden="1" customWidth="1"/>
    <col min="26" max="31" width="8.1640625" style="458" customWidth="1"/>
    <col min="32" max="32" width="8.83203125" style="458" customWidth="1"/>
    <col min="33" max="34" width="8.83203125" style="360" customWidth="1"/>
    <col min="35" max="35" width="9.6640625" style="360" customWidth="1"/>
    <col min="36" max="42" width="10.6640625" style="360"/>
    <col min="43" max="43" width="10.83203125" style="360" customWidth="1"/>
    <col min="44" max="16384" width="10.6640625" style="382"/>
  </cols>
  <sheetData>
    <row r="1" spans="1:40" ht="15" x14ac:dyDescent="0.25">
      <c r="A1" s="607" t="s">
        <v>176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</row>
    <row r="2" spans="1:40" x14ac:dyDescent="0.2">
      <c r="A2" s="383"/>
      <c r="B2" s="384"/>
      <c r="C2" s="384"/>
      <c r="D2" s="384"/>
      <c r="E2" s="384"/>
      <c r="F2" s="384"/>
      <c r="G2" s="384"/>
      <c r="H2" s="384"/>
      <c r="I2" s="384"/>
      <c r="J2" s="385"/>
      <c r="K2" s="385"/>
      <c r="L2" s="386"/>
      <c r="M2" s="386"/>
      <c r="N2" s="386"/>
      <c r="O2" s="385"/>
      <c r="P2" s="387"/>
      <c r="Q2" s="385"/>
      <c r="R2" s="385"/>
      <c r="S2" s="388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4"/>
      <c r="AH2" s="384"/>
      <c r="AI2" s="384"/>
    </row>
    <row r="3" spans="1:40" ht="12" customHeight="1" x14ac:dyDescent="0.2">
      <c r="A3" s="608" t="s">
        <v>129</v>
      </c>
      <c r="B3" s="389"/>
      <c r="C3" s="390"/>
      <c r="D3" s="390"/>
      <c r="E3" s="389"/>
      <c r="F3" s="389"/>
      <c r="G3" s="390"/>
      <c r="H3" s="391"/>
      <c r="I3" s="391"/>
      <c r="J3" s="390"/>
      <c r="K3" s="392"/>
      <c r="L3" s="392"/>
      <c r="M3" s="392"/>
      <c r="N3" s="391"/>
      <c r="O3" s="393"/>
      <c r="P3" s="394"/>
      <c r="Q3" s="395"/>
      <c r="R3" s="395"/>
      <c r="S3" s="396"/>
      <c r="T3" s="395"/>
      <c r="U3" s="498" t="s">
        <v>128</v>
      </c>
      <c r="V3" s="499" t="s">
        <v>128</v>
      </c>
      <c r="W3" s="500" t="s">
        <v>128</v>
      </c>
      <c r="X3" s="501" t="s">
        <v>128</v>
      </c>
      <c r="Y3" s="501" t="s">
        <v>128</v>
      </c>
      <c r="Z3" s="500" t="s">
        <v>128</v>
      </c>
      <c r="AA3" s="500" t="s">
        <v>128</v>
      </c>
      <c r="AB3" s="500" t="s">
        <v>128</v>
      </c>
      <c r="AC3" s="500" t="s">
        <v>128</v>
      </c>
      <c r="AD3" s="500" t="s">
        <v>128</v>
      </c>
      <c r="AE3" s="502" t="s">
        <v>128</v>
      </c>
      <c r="AF3" s="619" t="s">
        <v>182</v>
      </c>
      <c r="AG3" s="621" t="s">
        <v>136</v>
      </c>
      <c r="AH3" s="619" t="s">
        <v>137</v>
      </c>
      <c r="AI3" s="623" t="s">
        <v>177</v>
      </c>
    </row>
    <row r="4" spans="1:40" ht="12" x14ac:dyDescent="0.2">
      <c r="A4" s="609"/>
      <c r="B4" s="59" t="s">
        <v>84</v>
      </c>
      <c r="C4" s="60" t="s">
        <v>34</v>
      </c>
      <c r="D4" s="59" t="s">
        <v>40</v>
      </c>
      <c r="E4" s="60" t="s">
        <v>41</v>
      </c>
      <c r="F4" s="60" t="s">
        <v>42</v>
      </c>
      <c r="G4" s="59" t="s">
        <v>43</v>
      </c>
      <c r="H4" s="61" t="s">
        <v>44</v>
      </c>
      <c r="I4" s="62" t="s">
        <v>36</v>
      </c>
      <c r="J4" s="63" t="s">
        <v>37</v>
      </c>
      <c r="K4" s="63" t="s">
        <v>38</v>
      </c>
      <c r="L4" s="63" t="s">
        <v>39</v>
      </c>
      <c r="M4" s="63" t="s">
        <v>35</v>
      </c>
      <c r="N4" s="62" t="s">
        <v>45</v>
      </c>
      <c r="O4" s="264" t="s">
        <v>46</v>
      </c>
      <c r="P4" s="264" t="s">
        <v>49</v>
      </c>
      <c r="Q4" s="317" t="s">
        <v>52</v>
      </c>
      <c r="R4" s="317" t="s">
        <v>55</v>
      </c>
      <c r="S4" s="358" t="s">
        <v>56</v>
      </c>
      <c r="T4" s="368" t="s">
        <v>59</v>
      </c>
      <c r="U4" s="368" t="s">
        <v>60</v>
      </c>
      <c r="V4" s="348" t="s">
        <v>61</v>
      </c>
      <c r="W4" s="6" t="s">
        <v>62</v>
      </c>
      <c r="X4" s="64" t="s">
        <v>64</v>
      </c>
      <c r="Y4" s="64" t="s">
        <v>66</v>
      </c>
      <c r="Z4" s="6" t="s">
        <v>100</v>
      </c>
      <c r="AA4" s="6" t="s">
        <v>104</v>
      </c>
      <c r="AB4" s="6" t="s">
        <v>105</v>
      </c>
      <c r="AC4" s="6" t="s">
        <v>108</v>
      </c>
      <c r="AD4" s="6" t="s">
        <v>116</v>
      </c>
      <c r="AE4" s="65" t="s">
        <v>121</v>
      </c>
      <c r="AF4" s="620"/>
      <c r="AG4" s="622"/>
      <c r="AH4" s="620"/>
      <c r="AI4" s="624"/>
    </row>
    <row r="5" spans="1:40" ht="12" x14ac:dyDescent="0.2">
      <c r="A5" s="613" t="s">
        <v>68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  <c r="AC5" s="614"/>
      <c r="AD5" s="614"/>
      <c r="AE5" s="614"/>
      <c r="AF5" s="614"/>
      <c r="AG5" s="614"/>
      <c r="AH5" s="614"/>
      <c r="AI5" s="615"/>
    </row>
    <row r="6" spans="1:40" ht="12.75" x14ac:dyDescent="0.2">
      <c r="A6" s="610" t="s">
        <v>69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1"/>
      <c r="AG6" s="611"/>
      <c r="AH6" s="611"/>
      <c r="AI6" s="612"/>
      <c r="AJ6" s="377" t="s">
        <v>120</v>
      </c>
      <c r="AK6" s="9"/>
    </row>
    <row r="7" spans="1:40" ht="12" x14ac:dyDescent="0.2">
      <c r="A7" s="616" t="s">
        <v>70</v>
      </c>
      <c r="B7" s="617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  <c r="AC7" s="617"/>
      <c r="AD7" s="617"/>
      <c r="AE7" s="617"/>
      <c r="AF7" s="617"/>
      <c r="AG7" s="617"/>
      <c r="AH7" s="617"/>
      <c r="AI7" s="618"/>
      <c r="AJ7" s="363" t="s">
        <v>112</v>
      </c>
      <c r="AK7" s="363" t="s">
        <v>115</v>
      </c>
    </row>
    <row r="8" spans="1:40" ht="15" x14ac:dyDescent="0.25">
      <c r="A8" s="400" t="s">
        <v>139</v>
      </c>
      <c r="B8" s="100"/>
      <c r="C8" s="100"/>
      <c r="D8" s="100"/>
      <c r="E8" s="100"/>
      <c r="F8" s="100"/>
      <c r="G8" s="100"/>
      <c r="H8" s="93"/>
      <c r="I8" s="93">
        <v>8</v>
      </c>
      <c r="J8" s="100">
        <v>9</v>
      </c>
      <c r="K8" s="100">
        <v>3</v>
      </c>
      <c r="L8" s="100">
        <v>7</v>
      </c>
      <c r="M8" s="100">
        <v>9</v>
      </c>
      <c r="N8" s="93">
        <v>11</v>
      </c>
      <c r="O8" s="265">
        <v>6</v>
      </c>
      <c r="P8" s="265">
        <v>10</v>
      </c>
      <c r="Q8" s="324">
        <v>10</v>
      </c>
      <c r="R8" s="324">
        <v>9</v>
      </c>
      <c r="S8" s="351">
        <v>6</v>
      </c>
      <c r="T8" s="324">
        <v>7</v>
      </c>
      <c r="U8" s="324">
        <v>6</v>
      </c>
      <c r="V8" s="280">
        <v>11</v>
      </c>
      <c r="W8" s="92">
        <v>10</v>
      </c>
      <c r="X8" s="93">
        <v>7</v>
      </c>
      <c r="Y8" s="93">
        <v>0</v>
      </c>
      <c r="Z8" s="596"/>
      <c r="AA8" s="596"/>
      <c r="AB8" s="596"/>
      <c r="AC8" s="596"/>
      <c r="AD8" s="596"/>
      <c r="AE8" s="597"/>
      <c r="AF8" s="345" t="str">
        <f>IF(AE8=0," ",IF(AI8&gt;20,(AE8-AD8)/AD8," "))</f>
        <v xml:space="preserve"> </v>
      </c>
      <c r="AG8" s="346" t="str">
        <f>IF(AE8=0," ",IF(AI8&gt;20,(AE8-Z8)/Z8," "))</f>
        <v xml:space="preserve"> </v>
      </c>
      <c r="AH8" s="347" t="str">
        <f>IF(AE8=0," ",(IF(AI8&gt;20,(AE8-U8)/U8," ")))</f>
        <v xml:space="preserve"> </v>
      </c>
      <c r="AI8" s="247" t="str">
        <f>IF(AC8&gt;0,AVERAGE(AC8:AE8),"  ")</f>
        <v xml:space="preserve">  </v>
      </c>
      <c r="AJ8" s="361" t="str">
        <f>IF(AE8&lt;5,"Yes","No")</f>
        <v>Yes</v>
      </c>
      <c r="AK8" s="361" t="str">
        <f>IF((AC8+AD8+AE8)&lt;15,"Yes","No")</f>
        <v>Yes</v>
      </c>
      <c r="AL8" s="360" t="s">
        <v>113</v>
      </c>
    </row>
    <row r="9" spans="1:40" ht="12" x14ac:dyDescent="0.2">
      <c r="A9" s="401" t="s">
        <v>11</v>
      </c>
      <c r="B9" s="73"/>
      <c r="C9" s="73"/>
      <c r="D9" s="73"/>
      <c r="E9" s="73"/>
      <c r="F9" s="73"/>
      <c r="G9" s="73"/>
      <c r="H9" s="5"/>
      <c r="I9" s="5"/>
      <c r="J9" s="73">
        <v>19</v>
      </c>
      <c r="K9" s="73">
        <v>18</v>
      </c>
      <c r="L9" s="73">
        <v>33</v>
      </c>
      <c r="M9" s="73">
        <v>43</v>
      </c>
      <c r="N9" s="5">
        <v>45</v>
      </c>
      <c r="O9" s="266">
        <v>68</v>
      </c>
      <c r="P9" s="266">
        <v>49</v>
      </c>
      <c r="Q9" s="318">
        <v>81</v>
      </c>
      <c r="R9" s="318">
        <v>90</v>
      </c>
      <c r="S9" s="352">
        <v>102</v>
      </c>
      <c r="T9" s="318">
        <v>110</v>
      </c>
      <c r="U9" s="318">
        <f>143+1</f>
        <v>144</v>
      </c>
      <c r="V9" s="276">
        <v>139</v>
      </c>
      <c r="W9" s="74">
        <v>128</v>
      </c>
      <c r="X9" s="5">
        <v>171</v>
      </c>
      <c r="Y9" s="5">
        <v>147</v>
      </c>
      <c r="Z9" s="74">
        <v>126</v>
      </c>
      <c r="AA9" s="74">
        <v>134</v>
      </c>
      <c r="AB9" s="74">
        <v>111</v>
      </c>
      <c r="AC9" s="74">
        <v>145</v>
      </c>
      <c r="AD9" s="74">
        <v>114</v>
      </c>
      <c r="AE9" s="75">
        <v>93</v>
      </c>
      <c r="AF9" s="229">
        <f t="shared" ref="AF9:AF16" si="0">IF(AE9=0," ",IF(AI9&gt;20,(AE9-AD9)/AD9," "))</f>
        <v>-0.18421052631578946</v>
      </c>
      <c r="AG9" s="230">
        <f t="shared" ref="AG9:AG17" si="1">IF(AE9=0," ",IF(AI9&gt;20,(AE9-Z9)/Z9," "))</f>
        <v>-0.26190476190476192</v>
      </c>
      <c r="AH9" s="231">
        <f t="shared" ref="AH9:AH17" si="2">IF(AE9=0," ",(IF(AI9&gt;20,(AE9-U9)/U9," ")))</f>
        <v>-0.35416666666666669</v>
      </c>
      <c r="AI9" s="125">
        <f t="shared" ref="AI9:AI16" si="3">IF(AC9&gt;0,AVERAGE(AC9:AE9),"  ")</f>
        <v>117.33333333333333</v>
      </c>
      <c r="AJ9" s="369" t="str">
        <f t="shared" ref="AJ9:AJ13" si="4">IF(AE9&lt;5,"Yes","No")</f>
        <v>No</v>
      </c>
      <c r="AK9" s="369" t="str">
        <f t="shared" ref="AK9:AK13" si="5">IF((AC9+AD9+AE9)&lt;15,"Yes","No")</f>
        <v>No</v>
      </c>
      <c r="AL9" s="99"/>
    </row>
    <row r="10" spans="1:40" ht="12" x14ac:dyDescent="0.2">
      <c r="A10" s="401" t="s">
        <v>141</v>
      </c>
      <c r="B10" s="73"/>
      <c r="C10" s="73"/>
      <c r="D10" s="73"/>
      <c r="E10" s="73"/>
      <c r="F10" s="73"/>
      <c r="G10" s="73"/>
      <c r="H10" s="5"/>
      <c r="I10" s="5"/>
      <c r="J10" s="73"/>
      <c r="K10" s="73"/>
      <c r="L10" s="73"/>
      <c r="M10" s="73"/>
      <c r="N10" s="5"/>
      <c r="O10" s="266"/>
      <c r="P10" s="266"/>
      <c r="Q10" s="318"/>
      <c r="R10" s="318"/>
      <c r="S10" s="352"/>
      <c r="T10" s="318"/>
      <c r="U10" s="592"/>
      <c r="V10" s="598"/>
      <c r="W10" s="594"/>
      <c r="X10" s="599"/>
      <c r="Y10" s="599"/>
      <c r="Z10" s="594"/>
      <c r="AA10" s="594"/>
      <c r="AB10" s="594"/>
      <c r="AC10" s="594"/>
      <c r="AD10" s="594"/>
      <c r="AE10" s="75">
        <v>15</v>
      </c>
      <c r="AF10" s="229"/>
      <c r="AG10" s="230"/>
      <c r="AH10" s="231"/>
      <c r="AI10" s="125"/>
      <c r="AJ10" s="369" t="str">
        <f t="shared" si="4"/>
        <v>No</v>
      </c>
      <c r="AK10" s="369" t="str">
        <f t="shared" si="5"/>
        <v>No</v>
      </c>
      <c r="AL10" s="369"/>
      <c r="AM10" s="369"/>
      <c r="AN10" s="369"/>
    </row>
    <row r="11" spans="1:40" ht="12" x14ac:dyDescent="0.2">
      <c r="A11" s="402" t="s">
        <v>65</v>
      </c>
      <c r="B11" s="77">
        <v>11</v>
      </c>
      <c r="C11" s="77">
        <v>15</v>
      </c>
      <c r="D11" s="77">
        <v>6</v>
      </c>
      <c r="E11" s="77">
        <v>9</v>
      </c>
      <c r="F11" s="77">
        <v>11</v>
      </c>
      <c r="G11" s="77">
        <v>9</v>
      </c>
      <c r="H11" s="7">
        <v>5</v>
      </c>
      <c r="I11" s="7">
        <v>10</v>
      </c>
      <c r="J11" s="77">
        <v>7</v>
      </c>
      <c r="K11" s="77">
        <v>7</v>
      </c>
      <c r="L11" s="77">
        <v>8</v>
      </c>
      <c r="M11" s="77">
        <v>6</v>
      </c>
      <c r="N11" s="7">
        <v>9</v>
      </c>
      <c r="O11" s="267">
        <v>9</v>
      </c>
      <c r="P11" s="267">
        <v>12</v>
      </c>
      <c r="Q11" s="319">
        <v>10</v>
      </c>
      <c r="R11" s="319">
        <v>10</v>
      </c>
      <c r="S11" s="353">
        <v>12</v>
      </c>
      <c r="T11" s="319">
        <v>15</v>
      </c>
      <c r="U11" s="319">
        <v>9</v>
      </c>
      <c r="V11" s="277">
        <v>12</v>
      </c>
      <c r="W11" s="78">
        <v>15</v>
      </c>
      <c r="X11" s="7">
        <v>11</v>
      </c>
      <c r="Y11" s="7">
        <v>15</v>
      </c>
      <c r="Z11" s="78">
        <v>13</v>
      </c>
      <c r="AA11" s="78">
        <v>16</v>
      </c>
      <c r="AB11" s="78">
        <v>14</v>
      </c>
      <c r="AC11" s="78">
        <v>11</v>
      </c>
      <c r="AD11" s="78">
        <v>13</v>
      </c>
      <c r="AE11" s="79">
        <v>9</v>
      </c>
      <c r="AF11" s="232" t="str">
        <f t="shared" si="0"/>
        <v xml:space="preserve"> </v>
      </c>
      <c r="AG11" s="233" t="str">
        <f t="shared" si="1"/>
        <v xml:space="preserve"> </v>
      </c>
      <c r="AH11" s="234" t="str">
        <f t="shared" si="2"/>
        <v xml:space="preserve"> </v>
      </c>
      <c r="AI11" s="246">
        <f t="shared" si="3"/>
        <v>11</v>
      </c>
      <c r="AJ11" s="369" t="str">
        <f t="shared" si="4"/>
        <v>No</v>
      </c>
      <c r="AK11" s="369" t="str">
        <f t="shared" si="5"/>
        <v>No</v>
      </c>
      <c r="AL11" s="99"/>
    </row>
    <row r="12" spans="1:40" ht="12" x14ac:dyDescent="0.2">
      <c r="A12" s="401" t="s">
        <v>140</v>
      </c>
      <c r="B12" s="73"/>
      <c r="C12" s="73"/>
      <c r="D12" s="73"/>
      <c r="E12" s="73"/>
      <c r="F12" s="73"/>
      <c r="G12" s="73"/>
      <c r="H12" s="5"/>
      <c r="I12" s="5"/>
      <c r="J12" s="73"/>
      <c r="K12" s="73"/>
      <c r="L12" s="73"/>
      <c r="M12" s="73">
        <v>0</v>
      </c>
      <c r="N12" s="5"/>
      <c r="O12" s="266"/>
      <c r="P12" s="266"/>
      <c r="Q12" s="318"/>
      <c r="R12" s="318">
        <v>0</v>
      </c>
      <c r="S12" s="352">
        <v>0</v>
      </c>
      <c r="T12" s="318">
        <v>0</v>
      </c>
      <c r="U12" s="592"/>
      <c r="V12" s="276">
        <v>1</v>
      </c>
      <c r="W12" s="74">
        <v>15</v>
      </c>
      <c r="X12" s="5">
        <v>22</v>
      </c>
      <c r="Y12" s="5">
        <v>34</v>
      </c>
      <c r="Z12" s="74">
        <v>23</v>
      </c>
      <c r="AA12" s="74">
        <v>56</v>
      </c>
      <c r="AB12" s="74">
        <v>42</v>
      </c>
      <c r="AC12" s="74">
        <v>38</v>
      </c>
      <c r="AD12" s="74">
        <v>21</v>
      </c>
      <c r="AE12" s="75">
        <v>29</v>
      </c>
      <c r="AF12" s="229">
        <f t="shared" si="0"/>
        <v>0.38095238095238093</v>
      </c>
      <c r="AG12" s="230">
        <f t="shared" si="1"/>
        <v>0.2608695652173913</v>
      </c>
      <c r="AH12" s="231"/>
      <c r="AI12" s="125">
        <f t="shared" si="3"/>
        <v>29.333333333333332</v>
      </c>
      <c r="AJ12" s="369" t="str">
        <f t="shared" si="4"/>
        <v>No</v>
      </c>
      <c r="AK12" s="369" t="str">
        <f t="shared" si="5"/>
        <v>No</v>
      </c>
      <c r="AL12" s="99"/>
    </row>
    <row r="13" spans="1:40" ht="12" x14ac:dyDescent="0.2">
      <c r="A13" s="402" t="s">
        <v>26</v>
      </c>
      <c r="B13" s="77">
        <v>14</v>
      </c>
      <c r="C13" s="77">
        <v>21</v>
      </c>
      <c r="D13" s="77">
        <v>19</v>
      </c>
      <c r="E13" s="77">
        <v>18</v>
      </c>
      <c r="F13" s="77">
        <v>17</v>
      </c>
      <c r="G13" s="77">
        <v>14</v>
      </c>
      <c r="H13" s="7">
        <v>7</v>
      </c>
      <c r="I13" s="7">
        <v>11</v>
      </c>
      <c r="J13" s="77">
        <v>7</v>
      </c>
      <c r="K13" s="77">
        <v>11</v>
      </c>
      <c r="L13" s="77">
        <v>10</v>
      </c>
      <c r="M13" s="77">
        <v>15</v>
      </c>
      <c r="N13" s="7">
        <v>24</v>
      </c>
      <c r="O13" s="267">
        <v>23</v>
      </c>
      <c r="P13" s="267">
        <v>27</v>
      </c>
      <c r="Q13" s="319">
        <v>23</v>
      </c>
      <c r="R13" s="319">
        <f>35+1</f>
        <v>36</v>
      </c>
      <c r="S13" s="353">
        <v>23</v>
      </c>
      <c r="T13" s="319">
        <v>31</v>
      </c>
      <c r="U13" s="319">
        <v>37</v>
      </c>
      <c r="V13" s="277">
        <v>37</v>
      </c>
      <c r="W13" s="78">
        <v>36</v>
      </c>
      <c r="X13" s="7">
        <v>29</v>
      </c>
      <c r="Y13" s="7">
        <v>27</v>
      </c>
      <c r="Z13" s="78">
        <v>20</v>
      </c>
      <c r="AA13" s="78">
        <v>22</v>
      </c>
      <c r="AB13" s="78">
        <v>23</v>
      </c>
      <c r="AC13" s="78">
        <v>30</v>
      </c>
      <c r="AD13" s="78">
        <v>30</v>
      </c>
      <c r="AE13" s="79">
        <v>20</v>
      </c>
      <c r="AF13" s="232">
        <f t="shared" si="0"/>
        <v>-0.33333333333333331</v>
      </c>
      <c r="AG13" s="233">
        <f t="shared" si="1"/>
        <v>0</v>
      </c>
      <c r="AH13" s="234">
        <f t="shared" si="2"/>
        <v>-0.45945945945945948</v>
      </c>
      <c r="AI13" s="246">
        <f t="shared" si="3"/>
        <v>26.666666666666668</v>
      </c>
      <c r="AJ13" s="369" t="str">
        <f t="shared" si="4"/>
        <v>No</v>
      </c>
      <c r="AK13" s="369" t="str">
        <f t="shared" si="5"/>
        <v>No</v>
      </c>
      <c r="AL13" s="99"/>
    </row>
    <row r="14" spans="1:40" ht="12" x14ac:dyDescent="0.2">
      <c r="A14" s="403" t="s">
        <v>71</v>
      </c>
      <c r="B14" s="66">
        <f t="shared" ref="B14:AE14" si="6">SUM(B8:B13)</f>
        <v>25</v>
      </c>
      <c r="C14" s="66">
        <f t="shared" si="6"/>
        <v>36</v>
      </c>
      <c r="D14" s="66">
        <f t="shared" si="6"/>
        <v>25</v>
      </c>
      <c r="E14" s="66">
        <f t="shared" si="6"/>
        <v>27</v>
      </c>
      <c r="F14" s="66">
        <f t="shared" si="6"/>
        <v>28</v>
      </c>
      <c r="G14" s="66">
        <f t="shared" si="6"/>
        <v>23</v>
      </c>
      <c r="H14" s="66">
        <f t="shared" si="6"/>
        <v>12</v>
      </c>
      <c r="I14" s="66">
        <f t="shared" si="6"/>
        <v>29</v>
      </c>
      <c r="J14" s="66">
        <f t="shared" si="6"/>
        <v>42</v>
      </c>
      <c r="K14" s="66">
        <f t="shared" si="6"/>
        <v>39</v>
      </c>
      <c r="L14" s="66">
        <f t="shared" si="6"/>
        <v>58</v>
      </c>
      <c r="M14" s="66">
        <f t="shared" si="6"/>
        <v>73</v>
      </c>
      <c r="N14" s="66">
        <f t="shared" si="6"/>
        <v>89</v>
      </c>
      <c r="O14" s="268">
        <f t="shared" si="6"/>
        <v>106</v>
      </c>
      <c r="P14" s="268">
        <f t="shared" si="6"/>
        <v>98</v>
      </c>
      <c r="Q14" s="320">
        <f t="shared" si="6"/>
        <v>124</v>
      </c>
      <c r="R14" s="320">
        <f>SUM(R8:R13)</f>
        <v>145</v>
      </c>
      <c r="S14" s="320">
        <f t="shared" si="6"/>
        <v>143</v>
      </c>
      <c r="T14" s="320">
        <f t="shared" si="6"/>
        <v>163</v>
      </c>
      <c r="U14" s="320">
        <f t="shared" si="6"/>
        <v>196</v>
      </c>
      <c r="V14" s="180">
        <f t="shared" si="6"/>
        <v>200</v>
      </c>
      <c r="W14" s="66">
        <f t="shared" si="6"/>
        <v>204</v>
      </c>
      <c r="X14" s="66">
        <f t="shared" si="6"/>
        <v>240</v>
      </c>
      <c r="Y14" s="66">
        <f t="shared" si="6"/>
        <v>223</v>
      </c>
      <c r="Z14" s="66">
        <f t="shared" si="6"/>
        <v>182</v>
      </c>
      <c r="AA14" s="66">
        <f t="shared" si="6"/>
        <v>228</v>
      </c>
      <c r="AB14" s="66">
        <f t="shared" si="6"/>
        <v>190</v>
      </c>
      <c r="AC14" s="66">
        <f t="shared" si="6"/>
        <v>224</v>
      </c>
      <c r="AD14" s="66">
        <f t="shared" si="6"/>
        <v>178</v>
      </c>
      <c r="AE14" s="300">
        <f t="shared" si="6"/>
        <v>166</v>
      </c>
      <c r="AF14" s="240">
        <f t="shared" si="0"/>
        <v>-6.741573033707865E-2</v>
      </c>
      <c r="AG14" s="240">
        <f t="shared" si="1"/>
        <v>-8.7912087912087919E-2</v>
      </c>
      <c r="AH14" s="241">
        <f t="shared" si="2"/>
        <v>-0.15306122448979592</v>
      </c>
      <c r="AI14" s="124">
        <f t="shared" si="3"/>
        <v>189.33333333333334</v>
      </c>
      <c r="AJ14" s="369"/>
      <c r="AK14" s="369"/>
      <c r="AL14" s="99"/>
    </row>
    <row r="15" spans="1:40" ht="12" x14ac:dyDescent="0.2">
      <c r="A15" s="404" t="s">
        <v>142</v>
      </c>
      <c r="B15" s="118">
        <v>61</v>
      </c>
      <c r="C15" s="118">
        <v>76</v>
      </c>
      <c r="D15" s="118">
        <v>55</v>
      </c>
      <c r="E15" s="118">
        <v>49</v>
      </c>
      <c r="F15" s="118">
        <v>48</v>
      </c>
      <c r="G15" s="118">
        <v>37</v>
      </c>
      <c r="H15" s="119">
        <v>55</v>
      </c>
      <c r="I15" s="119">
        <v>54</v>
      </c>
      <c r="J15" s="118">
        <v>56</v>
      </c>
      <c r="K15" s="118">
        <v>80</v>
      </c>
      <c r="L15" s="118">
        <v>78</v>
      </c>
      <c r="M15" s="118">
        <v>84</v>
      </c>
      <c r="N15" s="119">
        <v>68</v>
      </c>
      <c r="O15" s="269">
        <v>76</v>
      </c>
      <c r="P15" s="269">
        <v>83</v>
      </c>
      <c r="Q15" s="321">
        <v>70</v>
      </c>
      <c r="R15" s="321">
        <v>84</v>
      </c>
      <c r="S15" s="354">
        <v>87</v>
      </c>
      <c r="T15" s="321">
        <v>93</v>
      </c>
      <c r="U15" s="321">
        <v>86</v>
      </c>
      <c r="V15" s="278">
        <v>94</v>
      </c>
      <c r="W15" s="118">
        <v>90</v>
      </c>
      <c r="X15" s="119">
        <v>97</v>
      </c>
      <c r="Y15" s="119">
        <v>87</v>
      </c>
      <c r="Z15" s="118">
        <v>89</v>
      </c>
      <c r="AA15" s="118">
        <v>89</v>
      </c>
      <c r="AB15" s="118">
        <v>83</v>
      </c>
      <c r="AC15" s="118">
        <v>99</v>
      </c>
      <c r="AD15" s="118">
        <v>93</v>
      </c>
      <c r="AE15" s="81">
        <v>85</v>
      </c>
      <c r="AF15" s="242">
        <f t="shared" si="0"/>
        <v>-8.6021505376344093E-2</v>
      </c>
      <c r="AG15" s="242">
        <f t="shared" si="1"/>
        <v>-4.49438202247191E-2</v>
      </c>
      <c r="AH15" s="243">
        <f t="shared" si="2"/>
        <v>-1.1627906976744186E-2</v>
      </c>
      <c r="AI15" s="126">
        <f t="shared" si="3"/>
        <v>92.333333333333329</v>
      </c>
      <c r="AJ15" s="369" t="str">
        <f t="shared" ref="AJ15:AJ16" si="7">IF(AD15&lt;5,"Yes","No")</f>
        <v>No</v>
      </c>
      <c r="AK15" s="369" t="str">
        <f t="shared" ref="AK15:AK16" si="8">IF((AB15+AC15+AD15)&lt;15,"Yes","No")</f>
        <v>No</v>
      </c>
      <c r="AL15" s="99"/>
    </row>
    <row r="16" spans="1:40" ht="12" x14ac:dyDescent="0.2">
      <c r="A16" s="405" t="s">
        <v>143</v>
      </c>
      <c r="B16" s="120">
        <v>59</v>
      </c>
      <c r="C16" s="120">
        <v>62</v>
      </c>
      <c r="D16" s="120">
        <v>72</v>
      </c>
      <c r="E16" s="120">
        <v>74</v>
      </c>
      <c r="F16" s="120">
        <v>67</v>
      </c>
      <c r="G16" s="120">
        <v>54</v>
      </c>
      <c r="H16" s="121">
        <v>74</v>
      </c>
      <c r="I16" s="121">
        <v>46</v>
      </c>
      <c r="J16" s="120">
        <v>59</v>
      </c>
      <c r="K16" s="120">
        <v>55</v>
      </c>
      <c r="L16" s="120">
        <v>61</v>
      </c>
      <c r="M16" s="120">
        <v>59</v>
      </c>
      <c r="N16" s="121">
        <v>56</v>
      </c>
      <c r="O16" s="270">
        <v>63</v>
      </c>
      <c r="P16" s="270">
        <v>61</v>
      </c>
      <c r="Q16" s="322">
        <v>61</v>
      </c>
      <c r="R16" s="322">
        <v>74</v>
      </c>
      <c r="S16" s="355">
        <f>91+2</f>
        <v>93</v>
      </c>
      <c r="T16" s="322">
        <v>74</v>
      </c>
      <c r="U16" s="322">
        <v>91</v>
      </c>
      <c r="V16" s="279">
        <v>82</v>
      </c>
      <c r="W16" s="120">
        <v>133</v>
      </c>
      <c r="X16" s="121">
        <v>133</v>
      </c>
      <c r="Y16" s="121">
        <v>113</v>
      </c>
      <c r="Z16" s="120">
        <v>130</v>
      </c>
      <c r="AA16" s="120">
        <v>137</v>
      </c>
      <c r="AB16" s="120">
        <v>127</v>
      </c>
      <c r="AC16" s="120">
        <v>103</v>
      </c>
      <c r="AD16" s="120">
        <v>101</v>
      </c>
      <c r="AE16" s="82">
        <v>99</v>
      </c>
      <c r="AF16" s="240">
        <f t="shared" si="0"/>
        <v>-1.9801980198019802E-2</v>
      </c>
      <c r="AG16" s="240">
        <f t="shared" si="1"/>
        <v>-0.23846153846153847</v>
      </c>
      <c r="AH16" s="241">
        <f t="shared" si="2"/>
        <v>8.7912087912087919E-2</v>
      </c>
      <c r="AI16" s="124">
        <f t="shared" si="3"/>
        <v>101</v>
      </c>
      <c r="AJ16" s="369" t="str">
        <f t="shared" si="7"/>
        <v>No</v>
      </c>
      <c r="AK16" s="369" t="str">
        <f t="shared" si="8"/>
        <v>No</v>
      </c>
      <c r="AL16" s="99"/>
    </row>
    <row r="17" spans="1:40" ht="12.75" thickBot="1" x14ac:dyDescent="0.25">
      <c r="A17" s="406" t="s">
        <v>73</v>
      </c>
      <c r="B17" s="127">
        <f t="shared" ref="B17:AE17" si="9">+B16+B15+B14</f>
        <v>145</v>
      </c>
      <c r="C17" s="127">
        <f t="shared" si="9"/>
        <v>174</v>
      </c>
      <c r="D17" s="127">
        <f t="shared" si="9"/>
        <v>152</v>
      </c>
      <c r="E17" s="127">
        <f t="shared" si="9"/>
        <v>150</v>
      </c>
      <c r="F17" s="127">
        <f t="shared" si="9"/>
        <v>143</v>
      </c>
      <c r="G17" s="127">
        <f t="shared" si="9"/>
        <v>114</v>
      </c>
      <c r="H17" s="127">
        <f t="shared" si="9"/>
        <v>141</v>
      </c>
      <c r="I17" s="127">
        <f t="shared" si="9"/>
        <v>129</v>
      </c>
      <c r="J17" s="127">
        <f t="shared" si="9"/>
        <v>157</v>
      </c>
      <c r="K17" s="127">
        <f t="shared" si="9"/>
        <v>174</v>
      </c>
      <c r="L17" s="127">
        <f t="shared" si="9"/>
        <v>197</v>
      </c>
      <c r="M17" s="127">
        <f t="shared" si="9"/>
        <v>216</v>
      </c>
      <c r="N17" s="127">
        <f t="shared" si="9"/>
        <v>213</v>
      </c>
      <c r="O17" s="271">
        <f t="shared" si="9"/>
        <v>245</v>
      </c>
      <c r="P17" s="271">
        <f t="shared" si="9"/>
        <v>242</v>
      </c>
      <c r="Q17" s="323">
        <f t="shared" si="9"/>
        <v>255</v>
      </c>
      <c r="R17" s="323">
        <f t="shared" si="9"/>
        <v>303</v>
      </c>
      <c r="S17" s="323">
        <f t="shared" si="9"/>
        <v>323</v>
      </c>
      <c r="T17" s="323">
        <f t="shared" si="9"/>
        <v>330</v>
      </c>
      <c r="U17" s="323">
        <f t="shared" si="9"/>
        <v>373</v>
      </c>
      <c r="V17" s="181">
        <f t="shared" si="9"/>
        <v>376</v>
      </c>
      <c r="W17" s="127">
        <f t="shared" si="9"/>
        <v>427</v>
      </c>
      <c r="X17" s="127">
        <f t="shared" si="9"/>
        <v>470</v>
      </c>
      <c r="Y17" s="127">
        <f t="shared" si="9"/>
        <v>423</v>
      </c>
      <c r="Z17" s="127">
        <f t="shared" si="9"/>
        <v>401</v>
      </c>
      <c r="AA17" s="127">
        <f t="shared" si="9"/>
        <v>454</v>
      </c>
      <c r="AB17" s="127">
        <f t="shared" si="9"/>
        <v>400</v>
      </c>
      <c r="AC17" s="127">
        <f t="shared" si="9"/>
        <v>426</v>
      </c>
      <c r="AD17" s="127">
        <f t="shared" si="9"/>
        <v>372</v>
      </c>
      <c r="AE17" s="127">
        <f t="shared" si="9"/>
        <v>350</v>
      </c>
      <c r="AF17" s="244">
        <f>IF(AE17=0," ",IF(AI17&gt;20,(AE17-AD17)/AD17," "))</f>
        <v>-5.9139784946236562E-2</v>
      </c>
      <c r="AG17" s="244">
        <f t="shared" si="1"/>
        <v>-0.12718204488778054</v>
      </c>
      <c r="AH17" s="244">
        <f t="shared" si="2"/>
        <v>-6.1662198391420911E-2</v>
      </c>
      <c r="AI17" s="196">
        <f>IF(AC17&gt;0,AVERAGE(AC17:AE17),"  ")</f>
        <v>382.66666666666669</v>
      </c>
    </row>
    <row r="18" spans="1:40" ht="13.5" thickTop="1" x14ac:dyDescent="0.2">
      <c r="A18" s="407" t="s">
        <v>74</v>
      </c>
      <c r="B18" s="67"/>
      <c r="C18" s="67"/>
      <c r="D18" s="67"/>
      <c r="E18" s="67"/>
      <c r="F18" s="68"/>
      <c r="G18" s="68"/>
      <c r="H18" s="68"/>
      <c r="I18" s="68"/>
      <c r="J18" s="67"/>
      <c r="K18" s="67"/>
      <c r="L18" s="67"/>
      <c r="M18" s="67"/>
      <c r="N18" s="69"/>
      <c r="O18" s="69"/>
      <c r="P18" s="69"/>
      <c r="Q18" s="69"/>
      <c r="R18" s="69"/>
      <c r="S18" s="70"/>
      <c r="T18" s="70"/>
      <c r="U18" s="70"/>
      <c r="V18" s="70"/>
      <c r="W18" s="70"/>
      <c r="X18" s="71"/>
      <c r="Y18" s="71"/>
      <c r="Z18" s="72"/>
      <c r="AA18" s="72"/>
      <c r="AB18" s="72"/>
      <c r="AC18" s="72"/>
      <c r="AD18" s="72"/>
      <c r="AE18" s="72"/>
      <c r="AF18" s="195"/>
      <c r="AG18" s="195"/>
      <c r="AH18" s="195"/>
      <c r="AI18" s="216"/>
    </row>
    <row r="19" spans="1:40" ht="15" x14ac:dyDescent="0.25">
      <c r="A19" s="555" t="s">
        <v>1</v>
      </c>
      <c r="B19" s="100">
        <v>27</v>
      </c>
      <c r="C19" s="100">
        <v>18</v>
      </c>
      <c r="D19" s="100">
        <v>28</v>
      </c>
      <c r="E19" s="100">
        <v>21</v>
      </c>
      <c r="F19" s="100">
        <v>17</v>
      </c>
      <c r="G19" s="100">
        <v>23</v>
      </c>
      <c r="H19" s="93">
        <v>27</v>
      </c>
      <c r="I19" s="93">
        <v>31</v>
      </c>
      <c r="J19" s="100">
        <v>37</v>
      </c>
      <c r="K19" s="100">
        <v>41</v>
      </c>
      <c r="L19" s="100">
        <v>27</v>
      </c>
      <c r="M19" s="100">
        <v>32</v>
      </c>
      <c r="N19" s="93">
        <v>18</v>
      </c>
      <c r="O19" s="265">
        <v>21</v>
      </c>
      <c r="P19" s="265">
        <v>16</v>
      </c>
      <c r="Q19" s="324">
        <v>10</v>
      </c>
      <c r="R19" s="324">
        <v>17</v>
      </c>
      <c r="S19" s="351">
        <v>17</v>
      </c>
      <c r="T19" s="324">
        <v>12</v>
      </c>
      <c r="U19" s="324">
        <v>7</v>
      </c>
      <c r="V19" s="280">
        <v>11</v>
      </c>
      <c r="W19" s="92">
        <v>6</v>
      </c>
      <c r="X19" s="93">
        <v>9</v>
      </c>
      <c r="Y19" s="93">
        <v>13</v>
      </c>
      <c r="Z19" s="92">
        <v>7</v>
      </c>
      <c r="AA19" s="92">
        <v>2</v>
      </c>
      <c r="AB19" s="92">
        <v>6</v>
      </c>
      <c r="AC19" s="92">
        <v>5</v>
      </c>
      <c r="AD19" s="92">
        <v>4</v>
      </c>
      <c r="AE19" s="101">
        <v>2</v>
      </c>
      <c r="AF19" s="345" t="str">
        <f t="shared" ref="AF19:AF38" si="10">IF(AE19=0," ",IF(AI19&gt;20,(AE19-AD19)/AD19," "))</f>
        <v xml:space="preserve"> </v>
      </c>
      <c r="AG19" s="346" t="str">
        <f t="shared" ref="AG19:AG39" si="11">IF(AE19=0," ",IF(AI19&gt;20,(AE19-Z19)/Z19," "))</f>
        <v xml:space="preserve"> </v>
      </c>
      <c r="AH19" s="347" t="str">
        <f t="shared" ref="AH19:AH39" si="12">IF(AE19=0," ",(IF(AI19&gt;20,(AE19-U19)/U19," ")))</f>
        <v xml:space="preserve"> </v>
      </c>
      <c r="AI19" s="247">
        <f t="shared" ref="AI19:AI39" si="13">IF(AC19&gt;0,AVERAGE(AC19:AE19),"  ")</f>
        <v>3.6666666666666665</v>
      </c>
      <c r="AJ19" s="361" t="str">
        <f t="shared" ref="AJ19" si="14">IF(AE19&lt;5,"Yes","No")</f>
        <v>Yes</v>
      </c>
      <c r="AK19" s="361" t="str">
        <f t="shared" ref="AK19" si="15">IF((AC19+AD19+AE19)&lt;15,"Yes","No")</f>
        <v>Yes</v>
      </c>
    </row>
    <row r="20" spans="1:40" ht="12" x14ac:dyDescent="0.2">
      <c r="A20" s="408" t="s">
        <v>33</v>
      </c>
      <c r="B20" s="73">
        <v>1</v>
      </c>
      <c r="C20" s="73">
        <v>3</v>
      </c>
      <c r="D20" s="73">
        <v>3</v>
      </c>
      <c r="E20" s="73">
        <v>0</v>
      </c>
      <c r="F20" s="73">
        <v>3</v>
      </c>
      <c r="G20" s="73">
        <v>2</v>
      </c>
      <c r="H20" s="5">
        <v>2</v>
      </c>
      <c r="I20" s="5">
        <v>2</v>
      </c>
      <c r="J20" s="73">
        <v>11</v>
      </c>
      <c r="K20" s="73">
        <v>15</v>
      </c>
      <c r="L20" s="73">
        <v>17</v>
      </c>
      <c r="M20" s="73">
        <v>25</v>
      </c>
      <c r="N20" s="5">
        <v>34</v>
      </c>
      <c r="O20" s="266">
        <v>40</v>
      </c>
      <c r="P20" s="266">
        <v>44</v>
      </c>
      <c r="Q20" s="318">
        <v>44</v>
      </c>
      <c r="R20" s="318">
        <v>56</v>
      </c>
      <c r="S20" s="352">
        <f>40+1</f>
        <v>41</v>
      </c>
      <c r="T20" s="318">
        <v>54</v>
      </c>
      <c r="U20" s="318">
        <v>39</v>
      </c>
      <c r="V20" s="276">
        <v>53</v>
      </c>
      <c r="W20" s="74">
        <v>43</v>
      </c>
      <c r="X20" s="5">
        <v>47</v>
      </c>
      <c r="Y20" s="5">
        <v>44</v>
      </c>
      <c r="Z20" s="74">
        <v>43</v>
      </c>
      <c r="AA20" s="74">
        <v>45</v>
      </c>
      <c r="AB20" s="74">
        <v>43</v>
      </c>
      <c r="AC20" s="74">
        <v>36</v>
      </c>
      <c r="AD20" s="74">
        <v>28</v>
      </c>
      <c r="AE20" s="75">
        <v>30</v>
      </c>
      <c r="AF20" s="229">
        <f t="shared" si="10"/>
        <v>7.1428571428571425E-2</v>
      </c>
      <c r="AG20" s="230">
        <f t="shared" si="11"/>
        <v>-0.30232558139534882</v>
      </c>
      <c r="AH20" s="231">
        <f t="shared" si="12"/>
        <v>-0.23076923076923078</v>
      </c>
      <c r="AI20" s="125">
        <f t="shared" si="13"/>
        <v>31.333333333333332</v>
      </c>
      <c r="AJ20" s="369" t="str">
        <f t="shared" ref="AJ20:AJ37" si="16">IF(AE20&lt;5,"Yes","No")</f>
        <v>No</v>
      </c>
      <c r="AK20" s="369" t="str">
        <f t="shared" ref="AK20:AK37" si="17">IF((AC20+AD20+AE20)&lt;15,"Yes","No")</f>
        <v>No</v>
      </c>
    </row>
    <row r="21" spans="1:40" ht="12" x14ac:dyDescent="0.2">
      <c r="A21" s="408" t="s">
        <v>106</v>
      </c>
      <c r="B21" s="73">
        <v>77</v>
      </c>
      <c r="C21" s="73">
        <v>97</v>
      </c>
      <c r="D21" s="73">
        <v>92</v>
      </c>
      <c r="E21" s="73">
        <v>95</v>
      </c>
      <c r="F21" s="73">
        <v>115</v>
      </c>
      <c r="G21" s="73">
        <v>94</v>
      </c>
      <c r="H21" s="5">
        <v>122</v>
      </c>
      <c r="I21" s="5">
        <v>129</v>
      </c>
      <c r="J21" s="73">
        <v>143</v>
      </c>
      <c r="K21" s="73">
        <v>135</v>
      </c>
      <c r="L21" s="73">
        <v>131</v>
      </c>
      <c r="M21" s="73">
        <v>142</v>
      </c>
      <c r="N21" s="5">
        <v>133</v>
      </c>
      <c r="O21" s="266">
        <v>155</v>
      </c>
      <c r="P21" s="266">
        <v>159</v>
      </c>
      <c r="Q21" s="318">
        <v>176</v>
      </c>
      <c r="R21" s="318">
        <v>138</v>
      </c>
      <c r="S21" s="352">
        <f>178+1</f>
        <v>179</v>
      </c>
      <c r="T21" s="318">
        <v>194</v>
      </c>
      <c r="U21" s="318">
        <f>182+3</f>
        <v>185</v>
      </c>
      <c r="V21" s="276">
        <v>162</v>
      </c>
      <c r="W21" s="74">
        <f>172+1</f>
        <v>173</v>
      </c>
      <c r="X21" s="5">
        <v>159</v>
      </c>
      <c r="Y21" s="5">
        <v>145</v>
      </c>
      <c r="Z21" s="74">
        <v>138</v>
      </c>
      <c r="AA21" s="74">
        <v>174</v>
      </c>
      <c r="AB21" s="74">
        <v>157</v>
      </c>
      <c r="AC21" s="74">
        <v>156</v>
      </c>
      <c r="AD21" s="74">
        <v>125</v>
      </c>
      <c r="AE21" s="75">
        <v>111</v>
      </c>
      <c r="AF21" s="229">
        <f t="shared" si="10"/>
        <v>-0.112</v>
      </c>
      <c r="AG21" s="230">
        <f t="shared" si="11"/>
        <v>-0.19565217391304349</v>
      </c>
      <c r="AH21" s="231">
        <f t="shared" si="12"/>
        <v>-0.4</v>
      </c>
      <c r="AI21" s="125">
        <f t="shared" si="13"/>
        <v>130.66666666666666</v>
      </c>
      <c r="AJ21" s="369" t="str">
        <f t="shared" si="16"/>
        <v>No</v>
      </c>
      <c r="AK21" s="369" t="str">
        <f t="shared" si="17"/>
        <v>No</v>
      </c>
    </row>
    <row r="22" spans="1:40" ht="12" x14ac:dyDescent="0.2">
      <c r="A22" s="408" t="s">
        <v>6</v>
      </c>
      <c r="B22" s="73"/>
      <c r="C22" s="73"/>
      <c r="D22" s="73"/>
      <c r="E22" s="73"/>
      <c r="F22" s="73"/>
      <c r="G22" s="73"/>
      <c r="H22" s="5"/>
      <c r="I22" s="5">
        <v>4</v>
      </c>
      <c r="J22" s="73">
        <v>3</v>
      </c>
      <c r="K22" s="73">
        <v>11</v>
      </c>
      <c r="L22" s="73">
        <v>15</v>
      </c>
      <c r="M22" s="73">
        <v>12</v>
      </c>
      <c r="N22" s="5">
        <v>14</v>
      </c>
      <c r="O22" s="266">
        <v>14</v>
      </c>
      <c r="P22" s="266">
        <v>19</v>
      </c>
      <c r="Q22" s="318">
        <v>18</v>
      </c>
      <c r="R22" s="318">
        <v>26</v>
      </c>
      <c r="S22" s="352">
        <f>33+1</f>
        <v>34</v>
      </c>
      <c r="T22" s="318">
        <v>44</v>
      </c>
      <c r="U22" s="318">
        <f>40+1+3</f>
        <v>44</v>
      </c>
      <c r="V22" s="276">
        <v>41</v>
      </c>
      <c r="W22" s="74">
        <v>32</v>
      </c>
      <c r="X22" s="5">
        <v>36</v>
      </c>
      <c r="Y22" s="5">
        <v>33</v>
      </c>
      <c r="Z22" s="74">
        <v>23</v>
      </c>
      <c r="AA22" s="74">
        <v>33</v>
      </c>
      <c r="AB22" s="74">
        <v>27</v>
      </c>
      <c r="AC22" s="74">
        <v>26</v>
      </c>
      <c r="AD22" s="74">
        <v>14</v>
      </c>
      <c r="AE22" s="75">
        <v>20</v>
      </c>
      <c r="AF22" s="229" t="str">
        <f t="shared" si="10"/>
        <v xml:space="preserve"> </v>
      </c>
      <c r="AG22" s="230" t="str">
        <f t="shared" si="11"/>
        <v xml:space="preserve"> </v>
      </c>
      <c r="AH22" s="231" t="str">
        <f t="shared" si="12"/>
        <v xml:space="preserve"> </v>
      </c>
      <c r="AI22" s="125">
        <f t="shared" si="13"/>
        <v>20</v>
      </c>
      <c r="AJ22" s="369" t="str">
        <f t="shared" si="16"/>
        <v>No</v>
      </c>
      <c r="AK22" s="369" t="str">
        <f t="shared" si="17"/>
        <v>No</v>
      </c>
    </row>
    <row r="23" spans="1:40" ht="12" x14ac:dyDescent="0.2">
      <c r="A23" s="410" t="s">
        <v>10</v>
      </c>
      <c r="B23" s="77">
        <v>35</v>
      </c>
      <c r="C23" s="77">
        <v>42</v>
      </c>
      <c r="D23" s="77">
        <v>31</v>
      </c>
      <c r="E23" s="77">
        <v>33</v>
      </c>
      <c r="F23" s="77">
        <v>31</v>
      </c>
      <c r="G23" s="77">
        <v>33</v>
      </c>
      <c r="H23" s="7">
        <v>42</v>
      </c>
      <c r="I23" s="7">
        <v>31</v>
      </c>
      <c r="J23" s="77">
        <v>38</v>
      </c>
      <c r="K23" s="77">
        <v>46</v>
      </c>
      <c r="L23" s="77">
        <v>45</v>
      </c>
      <c r="M23" s="77">
        <v>38</v>
      </c>
      <c r="N23" s="7">
        <v>45</v>
      </c>
      <c r="O23" s="267">
        <v>53</v>
      </c>
      <c r="P23" s="267">
        <v>46</v>
      </c>
      <c r="Q23" s="319">
        <v>64</v>
      </c>
      <c r="R23" s="319">
        <v>48</v>
      </c>
      <c r="S23" s="353">
        <f>60+2</f>
        <v>62</v>
      </c>
      <c r="T23" s="319">
        <v>54</v>
      </c>
      <c r="U23" s="319">
        <f>43+3</f>
        <v>46</v>
      </c>
      <c r="V23" s="277">
        <v>52</v>
      </c>
      <c r="W23" s="78">
        <f>50+4</f>
        <v>54</v>
      </c>
      <c r="X23" s="7">
        <v>50</v>
      </c>
      <c r="Y23" s="7">
        <v>44</v>
      </c>
      <c r="Z23" s="78">
        <v>37</v>
      </c>
      <c r="AA23" s="78">
        <v>56</v>
      </c>
      <c r="AB23" s="78">
        <v>44</v>
      </c>
      <c r="AC23" s="78">
        <v>31</v>
      </c>
      <c r="AD23" s="78">
        <v>43</v>
      </c>
      <c r="AE23" s="79">
        <v>27</v>
      </c>
      <c r="AF23" s="232">
        <f t="shared" si="10"/>
        <v>-0.37209302325581395</v>
      </c>
      <c r="AG23" s="233">
        <f t="shared" si="11"/>
        <v>-0.27027027027027029</v>
      </c>
      <c r="AH23" s="234">
        <f t="shared" si="12"/>
        <v>-0.41304347826086957</v>
      </c>
      <c r="AI23" s="246">
        <f t="shared" si="13"/>
        <v>33.666666666666664</v>
      </c>
      <c r="AJ23" s="369" t="str">
        <f t="shared" si="16"/>
        <v>No</v>
      </c>
      <c r="AK23" s="369" t="str">
        <f t="shared" si="17"/>
        <v>No</v>
      </c>
    </row>
    <row r="24" spans="1:40" ht="15" x14ac:dyDescent="0.25">
      <c r="A24" s="409" t="s">
        <v>47</v>
      </c>
      <c r="B24" s="102"/>
      <c r="C24" s="102"/>
      <c r="D24" s="102"/>
      <c r="E24" s="102"/>
      <c r="F24" s="102"/>
      <c r="G24" s="102"/>
      <c r="H24" s="103"/>
      <c r="I24" s="103"/>
      <c r="J24" s="102"/>
      <c r="K24" s="102"/>
      <c r="L24" s="102"/>
      <c r="M24" s="102"/>
      <c r="N24" s="103"/>
      <c r="O24" s="272">
        <v>1</v>
      </c>
      <c r="P24" s="272">
        <v>2</v>
      </c>
      <c r="Q24" s="325">
        <v>2</v>
      </c>
      <c r="R24" s="325">
        <v>0</v>
      </c>
      <c r="S24" s="356">
        <v>1</v>
      </c>
      <c r="T24" s="325">
        <v>2</v>
      </c>
      <c r="U24" s="325">
        <v>2</v>
      </c>
      <c r="V24" s="281">
        <v>2</v>
      </c>
      <c r="W24" s="88">
        <v>4</v>
      </c>
      <c r="X24" s="103">
        <v>3</v>
      </c>
      <c r="Y24" s="103">
        <v>0</v>
      </c>
      <c r="Z24" s="88">
        <v>1</v>
      </c>
      <c r="AA24" s="88">
        <v>2</v>
      </c>
      <c r="AB24" s="88">
        <v>3</v>
      </c>
      <c r="AC24" s="88">
        <v>1</v>
      </c>
      <c r="AD24" s="88">
        <v>1</v>
      </c>
      <c r="AE24" s="104">
        <v>2</v>
      </c>
      <c r="AF24" s="226" t="str">
        <f t="shared" si="10"/>
        <v xml:space="preserve"> </v>
      </c>
      <c r="AG24" s="227" t="str">
        <f t="shared" si="11"/>
        <v xml:space="preserve"> </v>
      </c>
      <c r="AH24" s="228" t="str">
        <f t="shared" si="12"/>
        <v xml:space="preserve"> </v>
      </c>
      <c r="AI24" s="245">
        <f t="shared" si="13"/>
        <v>1.3333333333333333</v>
      </c>
      <c r="AJ24" s="361" t="str">
        <f t="shared" si="16"/>
        <v>Yes</v>
      </c>
      <c r="AK24" s="361" t="str">
        <f t="shared" si="17"/>
        <v>Yes</v>
      </c>
    </row>
    <row r="25" spans="1:40" ht="12" x14ac:dyDescent="0.2">
      <c r="A25" s="408" t="s">
        <v>51</v>
      </c>
      <c r="B25" s="73"/>
      <c r="C25" s="73"/>
      <c r="D25" s="73"/>
      <c r="E25" s="73"/>
      <c r="F25" s="73"/>
      <c r="G25" s="73"/>
      <c r="H25" s="5"/>
      <c r="I25" s="5"/>
      <c r="J25" s="73"/>
      <c r="K25" s="73"/>
      <c r="L25" s="73"/>
      <c r="M25" s="73">
        <v>1</v>
      </c>
      <c r="N25" s="5">
        <v>4</v>
      </c>
      <c r="O25" s="266">
        <v>3</v>
      </c>
      <c r="P25" s="266">
        <v>6</v>
      </c>
      <c r="Q25" s="318">
        <v>17</v>
      </c>
      <c r="R25" s="318">
        <f>17+1</f>
        <v>18</v>
      </c>
      <c r="S25" s="352">
        <v>23</v>
      </c>
      <c r="T25" s="318">
        <v>21</v>
      </c>
      <c r="U25" s="318">
        <f>47+1</f>
        <v>48</v>
      </c>
      <c r="V25" s="276">
        <v>42</v>
      </c>
      <c r="W25" s="74">
        <f>42+2</f>
        <v>44</v>
      </c>
      <c r="X25" s="5">
        <v>40</v>
      </c>
      <c r="Y25" s="5">
        <v>53</v>
      </c>
      <c r="Z25" s="74">
        <v>47</v>
      </c>
      <c r="AA25" s="74">
        <v>49</v>
      </c>
      <c r="AB25" s="74">
        <v>51</v>
      </c>
      <c r="AC25" s="74">
        <v>38</v>
      </c>
      <c r="AD25" s="74">
        <v>33</v>
      </c>
      <c r="AE25" s="75">
        <v>24</v>
      </c>
      <c r="AF25" s="229">
        <f t="shared" si="10"/>
        <v>-0.27272727272727271</v>
      </c>
      <c r="AG25" s="230">
        <f t="shared" si="11"/>
        <v>-0.48936170212765956</v>
      </c>
      <c r="AH25" s="231">
        <f t="shared" si="12"/>
        <v>-0.5</v>
      </c>
      <c r="AI25" s="125">
        <f t="shared" si="13"/>
        <v>31.666666666666668</v>
      </c>
      <c r="AJ25" s="369" t="str">
        <f t="shared" si="16"/>
        <v>No</v>
      </c>
      <c r="AK25" s="369" t="str">
        <f t="shared" si="17"/>
        <v>No</v>
      </c>
    </row>
    <row r="26" spans="1:40" ht="15" x14ac:dyDescent="0.25">
      <c r="A26" s="408" t="s">
        <v>13</v>
      </c>
      <c r="B26" s="73">
        <v>3</v>
      </c>
      <c r="C26" s="73">
        <v>2</v>
      </c>
      <c r="D26" s="73">
        <v>1</v>
      </c>
      <c r="E26" s="73">
        <v>2</v>
      </c>
      <c r="F26" s="73">
        <v>1</v>
      </c>
      <c r="G26" s="73">
        <v>3</v>
      </c>
      <c r="H26" s="5">
        <v>1</v>
      </c>
      <c r="I26" s="5">
        <v>3</v>
      </c>
      <c r="J26" s="73">
        <v>5</v>
      </c>
      <c r="K26" s="73">
        <v>1</v>
      </c>
      <c r="L26" s="73">
        <v>5</v>
      </c>
      <c r="M26" s="73">
        <v>2</v>
      </c>
      <c r="N26" s="5">
        <v>1</v>
      </c>
      <c r="O26" s="266">
        <v>3</v>
      </c>
      <c r="P26" s="266">
        <v>2</v>
      </c>
      <c r="Q26" s="318">
        <v>0</v>
      </c>
      <c r="R26" s="318">
        <v>2</v>
      </c>
      <c r="S26" s="352">
        <v>2</v>
      </c>
      <c r="T26" s="318">
        <v>2</v>
      </c>
      <c r="U26" s="318">
        <v>1</v>
      </c>
      <c r="V26" s="276">
        <v>4</v>
      </c>
      <c r="W26" s="74">
        <f>3+3</f>
        <v>6</v>
      </c>
      <c r="X26" s="5">
        <v>1</v>
      </c>
      <c r="Y26" s="5">
        <v>4</v>
      </c>
      <c r="Z26" s="74">
        <v>5</v>
      </c>
      <c r="AA26" s="74">
        <v>3</v>
      </c>
      <c r="AB26" s="74">
        <v>5</v>
      </c>
      <c r="AC26" s="74">
        <v>3</v>
      </c>
      <c r="AD26" s="74">
        <v>3</v>
      </c>
      <c r="AE26" s="75">
        <v>3</v>
      </c>
      <c r="AF26" s="229" t="str">
        <f t="shared" si="10"/>
        <v xml:space="preserve"> </v>
      </c>
      <c r="AG26" s="230" t="str">
        <f t="shared" si="11"/>
        <v xml:space="preserve"> </v>
      </c>
      <c r="AH26" s="231" t="str">
        <f t="shared" si="12"/>
        <v xml:space="preserve"> </v>
      </c>
      <c r="AI26" s="125">
        <f t="shared" si="13"/>
        <v>3</v>
      </c>
      <c r="AJ26" s="361" t="str">
        <f t="shared" si="16"/>
        <v>Yes</v>
      </c>
      <c r="AK26" s="361" t="str">
        <f t="shared" si="17"/>
        <v>Yes</v>
      </c>
    </row>
    <row r="27" spans="1:40" ht="12" x14ac:dyDescent="0.2">
      <c r="A27" s="408" t="s">
        <v>15</v>
      </c>
      <c r="B27" s="73">
        <v>43</v>
      </c>
      <c r="C27" s="73">
        <v>47</v>
      </c>
      <c r="D27" s="73">
        <v>50</v>
      </c>
      <c r="E27" s="73">
        <v>65</v>
      </c>
      <c r="F27" s="73">
        <v>47</v>
      </c>
      <c r="G27" s="73">
        <v>37</v>
      </c>
      <c r="H27" s="5">
        <v>33</v>
      </c>
      <c r="I27" s="5">
        <v>45</v>
      </c>
      <c r="J27" s="73">
        <v>52</v>
      </c>
      <c r="K27" s="73">
        <v>85</v>
      </c>
      <c r="L27" s="73">
        <v>72</v>
      </c>
      <c r="M27" s="73">
        <v>55</v>
      </c>
      <c r="N27" s="5">
        <v>67</v>
      </c>
      <c r="O27" s="266">
        <v>50</v>
      </c>
      <c r="P27" s="266">
        <v>60</v>
      </c>
      <c r="Q27" s="318">
        <v>70</v>
      </c>
      <c r="R27" s="318">
        <f>75+1</f>
        <v>76</v>
      </c>
      <c r="S27" s="352">
        <f>53+2</f>
        <v>55</v>
      </c>
      <c r="T27" s="318">
        <v>66</v>
      </c>
      <c r="U27" s="318">
        <f>50+3</f>
        <v>53</v>
      </c>
      <c r="V27" s="276">
        <v>47</v>
      </c>
      <c r="W27" s="74">
        <v>39</v>
      </c>
      <c r="X27" s="5">
        <v>42</v>
      </c>
      <c r="Y27" s="5">
        <v>46</v>
      </c>
      <c r="Z27" s="74">
        <v>37</v>
      </c>
      <c r="AA27" s="74">
        <v>31</v>
      </c>
      <c r="AB27" s="74">
        <v>35</v>
      </c>
      <c r="AC27" s="74">
        <v>35</v>
      </c>
      <c r="AD27" s="74">
        <v>35</v>
      </c>
      <c r="AE27" s="75">
        <v>23</v>
      </c>
      <c r="AF27" s="229">
        <f t="shared" si="10"/>
        <v>-0.34285714285714286</v>
      </c>
      <c r="AG27" s="230">
        <f t="shared" si="11"/>
        <v>-0.3783783783783784</v>
      </c>
      <c r="AH27" s="231">
        <f t="shared" si="12"/>
        <v>-0.56603773584905659</v>
      </c>
      <c r="AI27" s="125">
        <f t="shared" si="13"/>
        <v>31</v>
      </c>
      <c r="AJ27" s="369" t="str">
        <f t="shared" si="16"/>
        <v>No</v>
      </c>
      <c r="AK27" s="369" t="str">
        <f t="shared" si="17"/>
        <v>No</v>
      </c>
      <c r="AN27" s="411" t="s">
        <v>57</v>
      </c>
    </row>
    <row r="28" spans="1:40" ht="12" x14ac:dyDescent="0.2">
      <c r="A28" s="585" t="s">
        <v>146</v>
      </c>
      <c r="B28" s="77"/>
      <c r="C28" s="77"/>
      <c r="D28" s="77"/>
      <c r="E28" s="77"/>
      <c r="F28" s="77"/>
      <c r="G28" s="77"/>
      <c r="H28" s="7"/>
      <c r="I28" s="7">
        <v>26</v>
      </c>
      <c r="J28" s="77">
        <v>53</v>
      </c>
      <c r="K28" s="77">
        <v>63</v>
      </c>
      <c r="L28" s="77">
        <v>55</v>
      </c>
      <c r="M28" s="77">
        <v>58</v>
      </c>
      <c r="N28" s="7">
        <v>61</v>
      </c>
      <c r="O28" s="267">
        <v>71</v>
      </c>
      <c r="P28" s="267">
        <v>67</v>
      </c>
      <c r="Q28" s="319">
        <v>52</v>
      </c>
      <c r="R28" s="319">
        <v>66</v>
      </c>
      <c r="S28" s="353">
        <v>67</v>
      </c>
      <c r="T28" s="319">
        <v>53</v>
      </c>
      <c r="U28" s="319">
        <v>22</v>
      </c>
      <c r="V28" s="277">
        <v>58</v>
      </c>
      <c r="W28" s="78">
        <v>56</v>
      </c>
      <c r="X28" s="7">
        <v>64</v>
      </c>
      <c r="Y28" s="7">
        <v>54</v>
      </c>
      <c r="Z28" s="78">
        <v>21</v>
      </c>
      <c r="AA28" s="78">
        <v>25</v>
      </c>
      <c r="AB28" s="78">
        <v>14</v>
      </c>
      <c r="AC28" s="78">
        <v>15</v>
      </c>
      <c r="AD28" s="78">
        <v>28</v>
      </c>
      <c r="AE28" s="79">
        <v>20</v>
      </c>
      <c r="AF28" s="232">
        <f t="shared" si="10"/>
        <v>-0.2857142857142857</v>
      </c>
      <c r="AG28" s="233">
        <f t="shared" si="11"/>
        <v>-4.7619047619047616E-2</v>
      </c>
      <c r="AH28" s="234">
        <f t="shared" si="12"/>
        <v>-9.0909090909090912E-2</v>
      </c>
      <c r="AI28" s="246">
        <f t="shared" si="13"/>
        <v>21</v>
      </c>
      <c r="AJ28" s="369" t="str">
        <f t="shared" si="16"/>
        <v>No</v>
      </c>
      <c r="AK28" s="369" t="str">
        <f t="shared" si="17"/>
        <v>No</v>
      </c>
      <c r="AN28" s="411"/>
    </row>
    <row r="29" spans="1:40" ht="12" x14ac:dyDescent="0.2">
      <c r="A29" s="586" t="s">
        <v>147</v>
      </c>
      <c r="B29" s="102"/>
      <c r="C29" s="102"/>
      <c r="D29" s="102"/>
      <c r="E29" s="102"/>
      <c r="F29" s="102"/>
      <c r="G29" s="102"/>
      <c r="H29" s="103"/>
      <c r="I29" s="103"/>
      <c r="J29" s="102"/>
      <c r="K29" s="102"/>
      <c r="L29" s="102"/>
      <c r="M29" s="102"/>
      <c r="N29" s="103"/>
      <c r="O29" s="272"/>
      <c r="P29" s="272"/>
      <c r="Q29" s="325"/>
      <c r="R29" s="325"/>
      <c r="S29" s="356"/>
      <c r="T29" s="325"/>
      <c r="U29" s="325">
        <v>29</v>
      </c>
      <c r="V29" s="281"/>
      <c r="W29" s="88"/>
      <c r="X29" s="103"/>
      <c r="Y29" s="103"/>
      <c r="Z29" s="88">
        <v>34</v>
      </c>
      <c r="AA29" s="88">
        <v>41</v>
      </c>
      <c r="AB29" s="88">
        <v>36</v>
      </c>
      <c r="AC29" s="88">
        <v>28</v>
      </c>
      <c r="AD29" s="88">
        <v>36</v>
      </c>
      <c r="AE29" s="104">
        <v>25</v>
      </c>
      <c r="AF29" s="226">
        <f t="shared" si="10"/>
        <v>-0.30555555555555558</v>
      </c>
      <c r="AG29" s="227">
        <f t="shared" si="11"/>
        <v>-0.26470588235294118</v>
      </c>
      <c r="AH29" s="228">
        <f t="shared" si="12"/>
        <v>-0.13793103448275862</v>
      </c>
      <c r="AI29" s="245">
        <f t="shared" si="13"/>
        <v>29.666666666666668</v>
      </c>
      <c r="AJ29" s="369" t="str">
        <f t="shared" si="16"/>
        <v>No</v>
      </c>
      <c r="AK29" s="369" t="str">
        <f t="shared" si="17"/>
        <v>No</v>
      </c>
      <c r="AN29" s="411"/>
    </row>
    <row r="30" spans="1:40" ht="12" x14ac:dyDescent="0.2">
      <c r="A30" s="408" t="s">
        <v>16</v>
      </c>
      <c r="B30" s="73"/>
      <c r="C30" s="73"/>
      <c r="D30" s="73"/>
      <c r="E30" s="73"/>
      <c r="F30" s="73"/>
      <c r="G30" s="73"/>
      <c r="H30" s="5"/>
      <c r="I30" s="5"/>
      <c r="J30" s="73"/>
      <c r="K30" s="73"/>
      <c r="L30" s="73">
        <v>1</v>
      </c>
      <c r="M30" s="73">
        <v>6</v>
      </c>
      <c r="N30" s="5">
        <v>9</v>
      </c>
      <c r="O30" s="266">
        <v>12</v>
      </c>
      <c r="P30" s="266">
        <v>11</v>
      </c>
      <c r="Q30" s="318">
        <v>11</v>
      </c>
      <c r="R30" s="318">
        <f>21+2</f>
        <v>23</v>
      </c>
      <c r="S30" s="352">
        <f>25+2</f>
        <v>27</v>
      </c>
      <c r="T30" s="318">
        <v>16</v>
      </c>
      <c r="U30" s="318">
        <f>17+1</f>
        <v>18</v>
      </c>
      <c r="V30" s="276">
        <v>15</v>
      </c>
      <c r="W30" s="74">
        <f>12+1</f>
        <v>13</v>
      </c>
      <c r="X30" s="5">
        <v>15</v>
      </c>
      <c r="Y30" s="5">
        <v>17</v>
      </c>
      <c r="Z30" s="74">
        <v>19</v>
      </c>
      <c r="AA30" s="74">
        <v>23</v>
      </c>
      <c r="AB30" s="74">
        <v>13</v>
      </c>
      <c r="AC30" s="74">
        <v>12</v>
      </c>
      <c r="AD30" s="74">
        <v>12</v>
      </c>
      <c r="AE30" s="75">
        <v>9</v>
      </c>
      <c r="AF30" s="229" t="str">
        <f t="shared" si="10"/>
        <v xml:space="preserve"> </v>
      </c>
      <c r="AG30" s="230" t="str">
        <f t="shared" si="11"/>
        <v xml:space="preserve"> </v>
      </c>
      <c r="AH30" s="231" t="str">
        <f t="shared" si="12"/>
        <v xml:space="preserve"> </v>
      </c>
      <c r="AI30" s="125">
        <f t="shared" si="13"/>
        <v>11</v>
      </c>
      <c r="AJ30" s="369" t="str">
        <f t="shared" si="16"/>
        <v>No</v>
      </c>
      <c r="AK30" s="369" t="str">
        <f t="shared" si="17"/>
        <v>No</v>
      </c>
      <c r="AN30" s="411" t="s">
        <v>58</v>
      </c>
    </row>
    <row r="31" spans="1:40" ht="12" x14ac:dyDescent="0.2">
      <c r="A31" s="412" t="s">
        <v>20</v>
      </c>
      <c r="B31" s="73">
        <v>2</v>
      </c>
      <c r="C31" s="73">
        <v>7</v>
      </c>
      <c r="D31" s="73">
        <v>6</v>
      </c>
      <c r="E31" s="73">
        <v>5</v>
      </c>
      <c r="F31" s="73">
        <v>4</v>
      </c>
      <c r="G31" s="73">
        <v>1</v>
      </c>
      <c r="H31" s="5">
        <v>5</v>
      </c>
      <c r="I31" s="5">
        <v>8</v>
      </c>
      <c r="J31" s="73">
        <v>9</v>
      </c>
      <c r="K31" s="73">
        <v>2</v>
      </c>
      <c r="L31" s="73">
        <v>5</v>
      </c>
      <c r="M31" s="73">
        <v>6</v>
      </c>
      <c r="N31" s="5">
        <v>2</v>
      </c>
      <c r="O31" s="266">
        <v>6</v>
      </c>
      <c r="P31" s="266">
        <v>7</v>
      </c>
      <c r="Q31" s="318">
        <v>9</v>
      </c>
      <c r="R31" s="318">
        <v>7</v>
      </c>
      <c r="S31" s="352">
        <v>10</v>
      </c>
      <c r="T31" s="318">
        <v>5</v>
      </c>
      <c r="U31" s="318">
        <v>9</v>
      </c>
      <c r="V31" s="276">
        <v>18</v>
      </c>
      <c r="W31" s="74">
        <v>8</v>
      </c>
      <c r="X31" s="5">
        <v>10</v>
      </c>
      <c r="Y31" s="5">
        <v>12</v>
      </c>
      <c r="Z31" s="74">
        <v>13</v>
      </c>
      <c r="AA31" s="74">
        <v>7</v>
      </c>
      <c r="AB31" s="74">
        <v>18</v>
      </c>
      <c r="AC31" s="74">
        <v>5</v>
      </c>
      <c r="AD31" s="74">
        <v>4</v>
      </c>
      <c r="AE31" s="75">
        <v>10</v>
      </c>
      <c r="AF31" s="229" t="str">
        <f t="shared" si="10"/>
        <v xml:space="preserve"> </v>
      </c>
      <c r="AG31" s="230" t="str">
        <f t="shared" si="11"/>
        <v xml:space="preserve"> </v>
      </c>
      <c r="AH31" s="231" t="str">
        <f t="shared" si="12"/>
        <v xml:space="preserve"> </v>
      </c>
      <c r="AI31" s="125">
        <f t="shared" si="13"/>
        <v>6.333333333333333</v>
      </c>
      <c r="AJ31" s="369" t="str">
        <f t="shared" si="16"/>
        <v>No</v>
      </c>
      <c r="AK31" s="369" t="str">
        <f t="shared" si="17"/>
        <v>No</v>
      </c>
    </row>
    <row r="32" spans="1:40" ht="12" x14ac:dyDescent="0.2">
      <c r="A32" s="412" t="s">
        <v>21</v>
      </c>
      <c r="B32" s="73">
        <v>11</v>
      </c>
      <c r="C32" s="73">
        <v>7</v>
      </c>
      <c r="D32" s="73">
        <v>10</v>
      </c>
      <c r="E32" s="73">
        <v>11</v>
      </c>
      <c r="F32" s="73">
        <v>12</v>
      </c>
      <c r="G32" s="73">
        <v>6</v>
      </c>
      <c r="H32" s="5">
        <v>9</v>
      </c>
      <c r="I32" s="5">
        <v>22</v>
      </c>
      <c r="J32" s="73">
        <v>16</v>
      </c>
      <c r="K32" s="73">
        <v>17</v>
      </c>
      <c r="L32" s="73">
        <v>4</v>
      </c>
      <c r="M32" s="73">
        <v>18</v>
      </c>
      <c r="N32" s="5">
        <v>14</v>
      </c>
      <c r="O32" s="266">
        <v>19</v>
      </c>
      <c r="P32" s="266">
        <v>14</v>
      </c>
      <c r="Q32" s="318">
        <v>14</v>
      </c>
      <c r="R32" s="318">
        <v>12</v>
      </c>
      <c r="S32" s="352">
        <f>7+1</f>
        <v>8</v>
      </c>
      <c r="T32" s="318">
        <v>9</v>
      </c>
      <c r="U32" s="318">
        <v>11</v>
      </c>
      <c r="V32" s="276">
        <v>8</v>
      </c>
      <c r="W32" s="74">
        <f>1+1</f>
        <v>2</v>
      </c>
      <c r="X32" s="5">
        <v>5</v>
      </c>
      <c r="Y32" s="5">
        <v>4</v>
      </c>
      <c r="Z32" s="74">
        <v>7</v>
      </c>
      <c r="AA32" s="74">
        <v>3</v>
      </c>
      <c r="AB32" s="74">
        <v>5</v>
      </c>
      <c r="AC32" s="74">
        <v>3</v>
      </c>
      <c r="AD32" s="74">
        <v>10</v>
      </c>
      <c r="AE32" s="75">
        <v>12</v>
      </c>
      <c r="AF32" s="229" t="str">
        <f t="shared" si="10"/>
        <v xml:space="preserve"> </v>
      </c>
      <c r="AG32" s="230" t="str">
        <f t="shared" si="11"/>
        <v xml:space="preserve"> </v>
      </c>
      <c r="AH32" s="231" t="str">
        <f t="shared" si="12"/>
        <v xml:space="preserve"> </v>
      </c>
      <c r="AI32" s="125">
        <f t="shared" si="13"/>
        <v>8.3333333333333339</v>
      </c>
      <c r="AJ32" s="369" t="str">
        <f t="shared" si="16"/>
        <v>No</v>
      </c>
      <c r="AK32" s="369" t="str">
        <f t="shared" si="17"/>
        <v>No</v>
      </c>
    </row>
    <row r="33" spans="1:169" ht="12" x14ac:dyDescent="0.2">
      <c r="A33" s="402" t="s">
        <v>24</v>
      </c>
      <c r="B33" s="77">
        <v>22</v>
      </c>
      <c r="C33" s="77">
        <v>27</v>
      </c>
      <c r="D33" s="77">
        <v>27</v>
      </c>
      <c r="E33" s="77">
        <v>25</v>
      </c>
      <c r="F33" s="77">
        <v>25</v>
      </c>
      <c r="G33" s="77">
        <v>28</v>
      </c>
      <c r="H33" s="7">
        <v>33</v>
      </c>
      <c r="I33" s="7">
        <v>25</v>
      </c>
      <c r="J33" s="77">
        <v>25</v>
      </c>
      <c r="K33" s="77">
        <v>25</v>
      </c>
      <c r="L33" s="77">
        <v>31</v>
      </c>
      <c r="M33" s="77">
        <v>30</v>
      </c>
      <c r="N33" s="7">
        <v>33</v>
      </c>
      <c r="O33" s="267">
        <v>26</v>
      </c>
      <c r="P33" s="267">
        <v>32</v>
      </c>
      <c r="Q33" s="319">
        <v>28</v>
      </c>
      <c r="R33" s="319">
        <v>34</v>
      </c>
      <c r="S33" s="353">
        <f>34+1</f>
        <v>35</v>
      </c>
      <c r="T33" s="319">
        <v>37</v>
      </c>
      <c r="U33" s="319">
        <f>33+1</f>
        <v>34</v>
      </c>
      <c r="V33" s="277">
        <v>33</v>
      </c>
      <c r="W33" s="78">
        <f>20+1</f>
        <v>21</v>
      </c>
      <c r="X33" s="7">
        <v>23</v>
      </c>
      <c r="Y33" s="7">
        <v>38</v>
      </c>
      <c r="Z33" s="78">
        <v>34</v>
      </c>
      <c r="AA33" s="78">
        <v>32</v>
      </c>
      <c r="AB33" s="78">
        <v>37</v>
      </c>
      <c r="AC33" s="78">
        <v>17</v>
      </c>
      <c r="AD33" s="78">
        <v>26</v>
      </c>
      <c r="AE33" s="79">
        <v>25</v>
      </c>
      <c r="AF33" s="232">
        <f t="shared" si="10"/>
        <v>-3.8461538461538464E-2</v>
      </c>
      <c r="AG33" s="233">
        <f t="shared" si="11"/>
        <v>-0.26470588235294118</v>
      </c>
      <c r="AH33" s="234">
        <f t="shared" si="12"/>
        <v>-0.26470588235294118</v>
      </c>
      <c r="AI33" s="246">
        <f t="shared" si="13"/>
        <v>22.666666666666668</v>
      </c>
      <c r="AJ33" s="369" t="str">
        <f t="shared" si="16"/>
        <v>No</v>
      </c>
      <c r="AK33" s="369" t="str">
        <f t="shared" si="17"/>
        <v>No</v>
      </c>
    </row>
    <row r="34" spans="1:169" ht="12" x14ac:dyDescent="0.2">
      <c r="A34" s="412" t="s">
        <v>25</v>
      </c>
      <c r="B34" s="73">
        <v>67</v>
      </c>
      <c r="C34" s="73">
        <v>74</v>
      </c>
      <c r="D34" s="73">
        <v>67</v>
      </c>
      <c r="E34" s="73">
        <v>81</v>
      </c>
      <c r="F34" s="73">
        <v>67</v>
      </c>
      <c r="G34" s="73">
        <v>71</v>
      </c>
      <c r="H34" s="5">
        <v>85</v>
      </c>
      <c r="I34" s="5">
        <v>79</v>
      </c>
      <c r="J34" s="73">
        <v>58</v>
      </c>
      <c r="K34" s="73">
        <v>84</v>
      </c>
      <c r="L34" s="73">
        <v>78</v>
      </c>
      <c r="M34" s="73">
        <v>71</v>
      </c>
      <c r="N34" s="5">
        <v>91</v>
      </c>
      <c r="O34" s="266">
        <v>106</v>
      </c>
      <c r="P34" s="266">
        <v>99</v>
      </c>
      <c r="Q34" s="318">
        <v>117</v>
      </c>
      <c r="R34" s="318">
        <v>120</v>
      </c>
      <c r="S34" s="352">
        <f>119+1</f>
        <v>120</v>
      </c>
      <c r="T34" s="318">
        <v>165</v>
      </c>
      <c r="U34" s="318">
        <f>121+4</f>
        <v>125</v>
      </c>
      <c r="V34" s="276">
        <v>144</v>
      </c>
      <c r="W34" s="74">
        <f>135+5</f>
        <v>140</v>
      </c>
      <c r="X34" s="5">
        <v>137</v>
      </c>
      <c r="Y34" s="5">
        <v>118</v>
      </c>
      <c r="Z34" s="74">
        <v>138</v>
      </c>
      <c r="AA34" s="74">
        <v>113</v>
      </c>
      <c r="AB34" s="74">
        <v>155</v>
      </c>
      <c r="AC34" s="74">
        <v>143</v>
      </c>
      <c r="AD34" s="74">
        <v>126</v>
      </c>
      <c r="AE34" s="75">
        <v>106</v>
      </c>
      <c r="AF34" s="229">
        <f t="shared" si="10"/>
        <v>-0.15873015873015872</v>
      </c>
      <c r="AG34" s="230">
        <f t="shared" si="11"/>
        <v>-0.2318840579710145</v>
      </c>
      <c r="AH34" s="231">
        <f t="shared" si="12"/>
        <v>-0.152</v>
      </c>
      <c r="AI34" s="125">
        <f t="shared" si="13"/>
        <v>125</v>
      </c>
      <c r="AJ34" s="369" t="str">
        <f t="shared" si="16"/>
        <v>No</v>
      </c>
      <c r="AK34" s="369" t="str">
        <f t="shared" si="17"/>
        <v>No</v>
      </c>
    </row>
    <row r="35" spans="1:169" ht="12" x14ac:dyDescent="0.2">
      <c r="A35" s="412" t="s">
        <v>28</v>
      </c>
      <c r="B35" s="73">
        <v>16</v>
      </c>
      <c r="C35" s="73">
        <v>16</v>
      </c>
      <c r="D35" s="73">
        <v>17</v>
      </c>
      <c r="E35" s="73">
        <v>16</v>
      </c>
      <c r="F35" s="73">
        <v>8</v>
      </c>
      <c r="G35" s="73">
        <v>16</v>
      </c>
      <c r="H35" s="5">
        <v>16</v>
      </c>
      <c r="I35" s="5">
        <v>12</v>
      </c>
      <c r="J35" s="73">
        <v>7</v>
      </c>
      <c r="K35" s="73">
        <v>5</v>
      </c>
      <c r="L35" s="73">
        <v>10</v>
      </c>
      <c r="M35" s="73">
        <v>7</v>
      </c>
      <c r="N35" s="5">
        <v>9</v>
      </c>
      <c r="O35" s="266">
        <v>11</v>
      </c>
      <c r="P35" s="266">
        <v>18</v>
      </c>
      <c r="Q35" s="318">
        <v>15</v>
      </c>
      <c r="R35" s="318">
        <v>21</v>
      </c>
      <c r="S35" s="352">
        <v>16</v>
      </c>
      <c r="T35" s="318">
        <v>12</v>
      </c>
      <c r="U35" s="318">
        <v>9</v>
      </c>
      <c r="V35" s="276">
        <v>20</v>
      </c>
      <c r="W35" s="74">
        <v>18</v>
      </c>
      <c r="X35" s="5">
        <v>13</v>
      </c>
      <c r="Y35" s="5">
        <v>17</v>
      </c>
      <c r="Z35" s="74">
        <v>14</v>
      </c>
      <c r="AA35" s="74">
        <v>11</v>
      </c>
      <c r="AB35" s="74">
        <v>23</v>
      </c>
      <c r="AC35" s="74">
        <v>11</v>
      </c>
      <c r="AD35" s="74">
        <v>15</v>
      </c>
      <c r="AE35" s="75">
        <v>8</v>
      </c>
      <c r="AF35" s="229" t="str">
        <f t="shared" si="10"/>
        <v xml:space="preserve"> </v>
      </c>
      <c r="AG35" s="230" t="str">
        <f t="shared" si="11"/>
        <v xml:space="preserve"> </v>
      </c>
      <c r="AH35" s="231" t="str">
        <f t="shared" si="12"/>
        <v xml:space="preserve"> </v>
      </c>
      <c r="AI35" s="125">
        <f t="shared" si="13"/>
        <v>11.333333333333334</v>
      </c>
      <c r="AJ35" s="369" t="str">
        <f t="shared" si="16"/>
        <v>No</v>
      </c>
      <c r="AK35" s="369" t="str">
        <f t="shared" si="17"/>
        <v>No</v>
      </c>
    </row>
    <row r="36" spans="1:169" ht="15" x14ac:dyDescent="0.25">
      <c r="A36" s="412" t="s">
        <v>29</v>
      </c>
      <c r="B36" s="73">
        <v>1</v>
      </c>
      <c r="C36" s="73">
        <v>0</v>
      </c>
      <c r="D36" s="73">
        <v>3</v>
      </c>
      <c r="E36" s="73">
        <v>5</v>
      </c>
      <c r="F36" s="73">
        <v>4</v>
      </c>
      <c r="G36" s="73">
        <v>6</v>
      </c>
      <c r="H36" s="5">
        <v>8</v>
      </c>
      <c r="I36" s="5">
        <v>12</v>
      </c>
      <c r="J36" s="73">
        <v>13</v>
      </c>
      <c r="K36" s="73">
        <v>8</v>
      </c>
      <c r="L36" s="73">
        <v>11</v>
      </c>
      <c r="M36" s="73">
        <v>16</v>
      </c>
      <c r="N36" s="5">
        <v>27</v>
      </c>
      <c r="O36" s="266">
        <v>17</v>
      </c>
      <c r="P36" s="266">
        <v>12</v>
      </c>
      <c r="Q36" s="318">
        <v>11</v>
      </c>
      <c r="R36" s="318">
        <v>6</v>
      </c>
      <c r="S36" s="352">
        <f>6+7</f>
        <v>13</v>
      </c>
      <c r="T36" s="318">
        <v>13</v>
      </c>
      <c r="U36" s="318">
        <f>9+2</f>
        <v>11</v>
      </c>
      <c r="V36" s="276">
        <v>11</v>
      </c>
      <c r="W36" s="74">
        <f>9+5</f>
        <v>14</v>
      </c>
      <c r="X36" s="5">
        <v>7</v>
      </c>
      <c r="Y36" s="5">
        <v>9</v>
      </c>
      <c r="Z36" s="74">
        <v>6</v>
      </c>
      <c r="AA36" s="74">
        <v>7</v>
      </c>
      <c r="AB36" s="74">
        <v>10</v>
      </c>
      <c r="AC36" s="74">
        <v>6</v>
      </c>
      <c r="AD36" s="74">
        <v>4</v>
      </c>
      <c r="AE36" s="75">
        <v>4</v>
      </c>
      <c r="AF36" s="229" t="str">
        <f t="shared" si="10"/>
        <v xml:space="preserve"> </v>
      </c>
      <c r="AG36" s="230" t="str">
        <f t="shared" si="11"/>
        <v xml:space="preserve"> </v>
      </c>
      <c r="AH36" s="231" t="str">
        <f t="shared" si="12"/>
        <v xml:space="preserve"> </v>
      </c>
      <c r="AI36" s="125">
        <f t="shared" si="13"/>
        <v>4.666666666666667</v>
      </c>
      <c r="AJ36" s="361" t="str">
        <f t="shared" si="16"/>
        <v>Yes</v>
      </c>
      <c r="AK36" s="361" t="str">
        <f t="shared" si="17"/>
        <v>Yes</v>
      </c>
    </row>
    <row r="37" spans="1:169" ht="15" x14ac:dyDescent="0.25">
      <c r="A37" s="412" t="s">
        <v>30</v>
      </c>
      <c r="B37" s="73"/>
      <c r="C37" s="73"/>
      <c r="D37" s="73"/>
      <c r="E37" s="73"/>
      <c r="F37" s="73"/>
      <c r="G37" s="73"/>
      <c r="H37" s="5"/>
      <c r="I37" s="5">
        <v>2</v>
      </c>
      <c r="J37" s="73">
        <v>6</v>
      </c>
      <c r="K37" s="73">
        <v>1</v>
      </c>
      <c r="L37" s="73">
        <v>5</v>
      </c>
      <c r="M37" s="73">
        <v>7</v>
      </c>
      <c r="N37" s="5">
        <v>5</v>
      </c>
      <c r="O37" s="266">
        <v>8</v>
      </c>
      <c r="P37" s="266">
        <v>9</v>
      </c>
      <c r="Q37" s="318">
        <v>4</v>
      </c>
      <c r="R37" s="318">
        <v>8</v>
      </c>
      <c r="S37" s="352">
        <v>6</v>
      </c>
      <c r="T37" s="318">
        <v>10</v>
      </c>
      <c r="U37" s="318">
        <v>12</v>
      </c>
      <c r="V37" s="276">
        <v>8</v>
      </c>
      <c r="W37" s="74">
        <v>5</v>
      </c>
      <c r="X37" s="5">
        <v>12</v>
      </c>
      <c r="Y37" s="5">
        <v>6</v>
      </c>
      <c r="Z37" s="74">
        <v>14</v>
      </c>
      <c r="AA37" s="74">
        <v>7</v>
      </c>
      <c r="AB37" s="74">
        <v>10</v>
      </c>
      <c r="AC37" s="74">
        <v>4</v>
      </c>
      <c r="AD37" s="74">
        <v>7</v>
      </c>
      <c r="AE37" s="75">
        <v>2</v>
      </c>
      <c r="AF37" s="229" t="str">
        <f t="shared" si="10"/>
        <v xml:space="preserve"> </v>
      </c>
      <c r="AG37" s="230" t="str">
        <f t="shared" si="11"/>
        <v xml:space="preserve"> </v>
      </c>
      <c r="AH37" s="231" t="str">
        <f t="shared" si="12"/>
        <v xml:space="preserve"> </v>
      </c>
      <c r="AI37" s="125">
        <f t="shared" si="13"/>
        <v>4.333333333333333</v>
      </c>
      <c r="AJ37" s="361" t="str">
        <f t="shared" si="16"/>
        <v>Yes</v>
      </c>
      <c r="AK37" s="361" t="str">
        <f t="shared" si="17"/>
        <v>Yes</v>
      </c>
    </row>
    <row r="38" spans="1:169" ht="13.5" hidden="1" x14ac:dyDescent="0.2">
      <c r="A38" s="412" t="s">
        <v>124</v>
      </c>
      <c r="B38" s="73">
        <v>7</v>
      </c>
      <c r="C38" s="73">
        <v>4</v>
      </c>
      <c r="D38" s="73"/>
      <c r="E38" s="73"/>
      <c r="F38" s="73"/>
      <c r="G38" s="73"/>
      <c r="H38" s="5"/>
      <c r="I38" s="5"/>
      <c r="J38" s="73"/>
      <c r="K38" s="73"/>
      <c r="L38" s="73"/>
      <c r="M38" s="73"/>
      <c r="N38" s="5"/>
      <c r="O38" s="266"/>
      <c r="P38" s="266"/>
      <c r="Q38" s="318"/>
      <c r="R38" s="318"/>
      <c r="S38" s="352"/>
      <c r="T38" s="318"/>
      <c r="U38" s="318"/>
      <c r="V38" s="276"/>
      <c r="W38" s="74"/>
      <c r="X38" s="5"/>
      <c r="Y38" s="5"/>
      <c r="Z38" s="75"/>
      <c r="AA38" s="75"/>
      <c r="AB38" s="75"/>
      <c r="AC38" s="75"/>
      <c r="AD38" s="75"/>
      <c r="AE38" s="75"/>
      <c r="AF38" s="84" t="str">
        <f t="shared" si="10"/>
        <v xml:space="preserve"> </v>
      </c>
      <c r="AG38" s="85" t="str">
        <f t="shared" si="11"/>
        <v xml:space="preserve"> </v>
      </c>
      <c r="AH38" s="87" t="str">
        <f t="shared" si="12"/>
        <v xml:space="preserve"> </v>
      </c>
      <c r="AI38" s="86" t="str">
        <f t="shared" si="13"/>
        <v xml:space="preserve">  </v>
      </c>
    </row>
    <row r="39" spans="1:169" s="17" customFormat="1" ht="12.75" thickBot="1" x14ac:dyDescent="0.25">
      <c r="A39" s="413" t="s">
        <v>75</v>
      </c>
      <c r="B39" s="58">
        <f t="shared" ref="B39:AD39" si="18">SUM(B19:B38)</f>
        <v>312</v>
      </c>
      <c r="C39" s="58">
        <f t="shared" si="18"/>
        <v>344</v>
      </c>
      <c r="D39" s="58">
        <f t="shared" si="18"/>
        <v>335</v>
      </c>
      <c r="E39" s="58">
        <f t="shared" si="18"/>
        <v>359</v>
      </c>
      <c r="F39" s="58">
        <f t="shared" si="18"/>
        <v>334</v>
      </c>
      <c r="G39" s="58">
        <f t="shared" si="18"/>
        <v>320</v>
      </c>
      <c r="H39" s="58">
        <f t="shared" si="18"/>
        <v>383</v>
      </c>
      <c r="I39" s="58">
        <f t="shared" si="18"/>
        <v>431</v>
      </c>
      <c r="J39" s="58">
        <f t="shared" si="18"/>
        <v>476</v>
      </c>
      <c r="K39" s="58">
        <f t="shared" si="18"/>
        <v>539</v>
      </c>
      <c r="L39" s="58">
        <f t="shared" si="18"/>
        <v>512</v>
      </c>
      <c r="M39" s="58">
        <f t="shared" si="18"/>
        <v>526</v>
      </c>
      <c r="N39" s="58">
        <f t="shared" si="18"/>
        <v>567</v>
      </c>
      <c r="O39" s="273">
        <f t="shared" si="18"/>
        <v>616</v>
      </c>
      <c r="P39" s="273">
        <f t="shared" si="18"/>
        <v>623</v>
      </c>
      <c r="Q39" s="326">
        <f t="shared" si="18"/>
        <v>662</v>
      </c>
      <c r="R39" s="326">
        <f t="shared" si="18"/>
        <v>678</v>
      </c>
      <c r="S39" s="326">
        <f t="shared" si="18"/>
        <v>716</v>
      </c>
      <c r="T39" s="326">
        <f t="shared" si="18"/>
        <v>769</v>
      </c>
      <c r="U39" s="326">
        <f t="shared" si="18"/>
        <v>705</v>
      </c>
      <c r="V39" s="186">
        <f t="shared" si="18"/>
        <v>729</v>
      </c>
      <c r="W39" s="58">
        <f t="shared" si="18"/>
        <v>678</v>
      </c>
      <c r="X39" s="58">
        <f t="shared" si="18"/>
        <v>673</v>
      </c>
      <c r="Y39" s="58">
        <f t="shared" si="18"/>
        <v>657</v>
      </c>
      <c r="Z39" s="58">
        <f t="shared" si="18"/>
        <v>638</v>
      </c>
      <c r="AA39" s="58">
        <f t="shared" si="18"/>
        <v>664</v>
      </c>
      <c r="AB39" s="58">
        <f t="shared" si="18"/>
        <v>692</v>
      </c>
      <c r="AC39" s="58">
        <f t="shared" si="18"/>
        <v>575</v>
      </c>
      <c r="AD39" s="58">
        <f t="shared" si="18"/>
        <v>554</v>
      </c>
      <c r="AE39" s="58">
        <f>SUM(AE19:AE38)</f>
        <v>463</v>
      </c>
      <c r="AF39" s="105">
        <f>IF(AE39=0," ",IF(AI39&gt;20,(AE39-AD39)/AD39," "))</f>
        <v>-0.16425992779783394</v>
      </c>
      <c r="AG39" s="106">
        <f t="shared" si="11"/>
        <v>-0.27429467084639497</v>
      </c>
      <c r="AH39" s="107">
        <f t="shared" si="12"/>
        <v>-0.34326241134751773</v>
      </c>
      <c r="AI39" s="58">
        <f t="shared" si="13"/>
        <v>530.66666666666663</v>
      </c>
      <c r="AJ39" s="89"/>
      <c r="AK39" s="91"/>
      <c r="AL39" s="91"/>
      <c r="AM39" s="91"/>
      <c r="AN39" s="91"/>
      <c r="AO39" s="91"/>
      <c r="AP39" s="91"/>
      <c r="AQ39" s="91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</row>
    <row r="40" spans="1:169" ht="13.5" thickTop="1" x14ac:dyDescent="0.2">
      <c r="A40" s="414" t="s">
        <v>76</v>
      </c>
      <c r="B40" s="18"/>
      <c r="C40" s="19"/>
      <c r="D40" s="19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1"/>
      <c r="Z40" s="21"/>
      <c r="AA40" s="21"/>
      <c r="AB40" s="21"/>
      <c r="AC40" s="21"/>
      <c r="AD40" s="21"/>
      <c r="AE40" s="21"/>
      <c r="AF40" s="21"/>
      <c r="AG40" s="22"/>
      <c r="AH40" s="199"/>
      <c r="AI40" s="23"/>
    </row>
    <row r="41" spans="1:169" ht="12" x14ac:dyDescent="0.2">
      <c r="A41" s="584" t="s">
        <v>2</v>
      </c>
      <c r="B41" s="100">
        <v>78</v>
      </c>
      <c r="C41" s="100">
        <v>82</v>
      </c>
      <c r="D41" s="100">
        <v>104</v>
      </c>
      <c r="E41" s="100">
        <v>132</v>
      </c>
      <c r="F41" s="100">
        <v>106</v>
      </c>
      <c r="G41" s="100">
        <v>92</v>
      </c>
      <c r="H41" s="93">
        <v>92</v>
      </c>
      <c r="I41" s="93">
        <v>90</v>
      </c>
      <c r="J41" s="100">
        <v>104</v>
      </c>
      <c r="K41" s="100">
        <v>71</v>
      </c>
      <c r="L41" s="100">
        <v>82</v>
      </c>
      <c r="M41" s="100">
        <v>82</v>
      </c>
      <c r="N41" s="93">
        <v>91</v>
      </c>
      <c r="O41" s="265">
        <v>91</v>
      </c>
      <c r="P41" s="265">
        <v>85</v>
      </c>
      <c r="Q41" s="324">
        <v>93</v>
      </c>
      <c r="R41" s="324">
        <f>107+2</f>
        <v>109</v>
      </c>
      <c r="S41" s="351">
        <f>90+4</f>
        <v>94</v>
      </c>
      <c r="T41" s="324">
        <v>107</v>
      </c>
      <c r="U41" s="324">
        <v>110</v>
      </c>
      <c r="V41" s="280">
        <v>119</v>
      </c>
      <c r="W41" s="92">
        <v>119</v>
      </c>
      <c r="X41" s="93">
        <v>109</v>
      </c>
      <c r="Y41" s="93">
        <v>107</v>
      </c>
      <c r="Z41" s="92">
        <v>104</v>
      </c>
      <c r="AA41" s="92">
        <v>102</v>
      </c>
      <c r="AB41" s="92">
        <v>91</v>
      </c>
      <c r="AC41" s="92">
        <v>88</v>
      </c>
      <c r="AD41" s="92">
        <v>64</v>
      </c>
      <c r="AE41" s="101">
        <v>82</v>
      </c>
      <c r="AF41" s="345">
        <f t="shared" ref="AF41:AF52" si="19">IF(AE41=0," ",IF(AI41&gt;20,(AE41-AD41)/AD41," "))</f>
        <v>0.28125</v>
      </c>
      <c r="AG41" s="346">
        <f t="shared" ref="AG41:AG53" si="20">IF(AE41=0," ",IF(AI41&gt;20,(AE41-Z41)/Z41," "))</f>
        <v>-0.21153846153846154</v>
      </c>
      <c r="AH41" s="347">
        <f t="shared" ref="AH41:AH53" si="21">IF(AE41=0," ",(IF(AI41&gt;20,(AE41-U41)/U41," ")))</f>
        <v>-0.25454545454545452</v>
      </c>
      <c r="AI41" s="247">
        <f t="shared" ref="AI41:AI53" si="22">IF(AC41&gt;0,AVERAGE(AC41:AE41),"  ")</f>
        <v>78</v>
      </c>
      <c r="AJ41" s="369" t="str">
        <f t="shared" ref="AJ41:AJ52" si="23">IF(AE41&lt;5,"Yes","No")</f>
        <v>No</v>
      </c>
      <c r="AK41" s="369" t="str">
        <f t="shared" ref="AK41:AK52" si="24">IF((AC41+AD41+AE41)&lt;15,"Yes","No")</f>
        <v>No</v>
      </c>
    </row>
    <row r="42" spans="1:169" ht="12" x14ac:dyDescent="0.2">
      <c r="A42" s="415" t="s">
        <v>4</v>
      </c>
      <c r="B42" s="73">
        <v>11</v>
      </c>
      <c r="C42" s="73">
        <v>4</v>
      </c>
      <c r="D42" s="73">
        <v>9</v>
      </c>
      <c r="E42" s="73">
        <v>10</v>
      </c>
      <c r="F42" s="73">
        <v>11</v>
      </c>
      <c r="G42" s="73">
        <v>6</v>
      </c>
      <c r="H42" s="5">
        <v>13</v>
      </c>
      <c r="I42" s="5">
        <v>12</v>
      </c>
      <c r="J42" s="73">
        <v>10</v>
      </c>
      <c r="K42" s="73">
        <v>7</v>
      </c>
      <c r="L42" s="73">
        <v>12</v>
      </c>
      <c r="M42" s="73">
        <v>8</v>
      </c>
      <c r="N42" s="5">
        <v>9</v>
      </c>
      <c r="O42" s="266">
        <v>12</v>
      </c>
      <c r="P42" s="266">
        <v>10</v>
      </c>
      <c r="Q42" s="318">
        <v>11</v>
      </c>
      <c r="R42" s="318">
        <v>7</v>
      </c>
      <c r="S42" s="352">
        <v>13</v>
      </c>
      <c r="T42" s="318">
        <v>10</v>
      </c>
      <c r="U42" s="318">
        <v>14</v>
      </c>
      <c r="V42" s="276">
        <v>15</v>
      </c>
      <c r="W42" s="74">
        <v>20</v>
      </c>
      <c r="X42" s="5">
        <v>14</v>
      </c>
      <c r="Y42" s="5">
        <v>15</v>
      </c>
      <c r="Z42" s="74">
        <v>20</v>
      </c>
      <c r="AA42" s="74">
        <v>24</v>
      </c>
      <c r="AB42" s="74">
        <v>14</v>
      </c>
      <c r="AC42" s="74">
        <v>17</v>
      </c>
      <c r="AD42" s="74">
        <v>13</v>
      </c>
      <c r="AE42" s="75">
        <v>9</v>
      </c>
      <c r="AF42" s="229" t="str">
        <f t="shared" si="19"/>
        <v xml:space="preserve"> </v>
      </c>
      <c r="AG42" s="230" t="str">
        <f t="shared" si="20"/>
        <v xml:space="preserve"> </v>
      </c>
      <c r="AH42" s="231" t="str">
        <f t="shared" si="21"/>
        <v xml:space="preserve"> </v>
      </c>
      <c r="AI42" s="125">
        <f t="shared" si="22"/>
        <v>13</v>
      </c>
      <c r="AJ42" s="369" t="str">
        <f t="shared" si="23"/>
        <v>No</v>
      </c>
      <c r="AK42" s="369" t="str">
        <f t="shared" si="24"/>
        <v>No</v>
      </c>
    </row>
    <row r="43" spans="1:169" ht="12" x14ac:dyDescent="0.2">
      <c r="A43" s="415" t="s">
        <v>5</v>
      </c>
      <c r="B43" s="73">
        <v>0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5">
        <v>1</v>
      </c>
      <c r="I43" s="5">
        <v>11</v>
      </c>
      <c r="J43" s="73">
        <v>6</v>
      </c>
      <c r="K43" s="73">
        <v>15</v>
      </c>
      <c r="L43" s="73">
        <v>15</v>
      </c>
      <c r="M43" s="73">
        <v>18</v>
      </c>
      <c r="N43" s="5">
        <v>10</v>
      </c>
      <c r="O43" s="266">
        <v>6</v>
      </c>
      <c r="P43" s="266">
        <v>16</v>
      </c>
      <c r="Q43" s="318">
        <v>9</v>
      </c>
      <c r="R43" s="318">
        <f>17+1</f>
        <v>18</v>
      </c>
      <c r="S43" s="352">
        <v>17</v>
      </c>
      <c r="T43" s="318">
        <v>11</v>
      </c>
      <c r="U43" s="318">
        <v>15</v>
      </c>
      <c r="V43" s="276">
        <v>26</v>
      </c>
      <c r="W43" s="74">
        <v>25</v>
      </c>
      <c r="X43" s="5">
        <v>31</v>
      </c>
      <c r="Y43" s="5">
        <v>36</v>
      </c>
      <c r="Z43" s="74">
        <v>36</v>
      </c>
      <c r="AA43" s="74">
        <v>39</v>
      </c>
      <c r="AB43" s="74">
        <v>26</v>
      </c>
      <c r="AC43" s="74">
        <v>29</v>
      </c>
      <c r="AD43" s="74">
        <v>31</v>
      </c>
      <c r="AE43" s="75">
        <v>27</v>
      </c>
      <c r="AF43" s="229">
        <f t="shared" si="19"/>
        <v>-0.12903225806451613</v>
      </c>
      <c r="AG43" s="230">
        <f t="shared" si="20"/>
        <v>-0.25</v>
      </c>
      <c r="AH43" s="231">
        <f t="shared" si="21"/>
        <v>0.8</v>
      </c>
      <c r="AI43" s="125">
        <f t="shared" si="22"/>
        <v>29</v>
      </c>
      <c r="AJ43" s="369" t="str">
        <f t="shared" si="23"/>
        <v>No</v>
      </c>
      <c r="AK43" s="369" t="str">
        <f t="shared" si="24"/>
        <v>No</v>
      </c>
    </row>
    <row r="44" spans="1:169" ht="15" x14ac:dyDescent="0.25">
      <c r="A44" s="415" t="s">
        <v>148</v>
      </c>
      <c r="B44" s="73"/>
      <c r="C44" s="73"/>
      <c r="D44" s="73"/>
      <c r="E44" s="73"/>
      <c r="F44" s="73"/>
      <c r="G44" s="73"/>
      <c r="H44" s="5"/>
      <c r="I44" s="5"/>
      <c r="J44" s="73"/>
      <c r="K44" s="73"/>
      <c r="L44" s="73"/>
      <c r="M44" s="73"/>
      <c r="N44" s="5"/>
      <c r="O44" s="266"/>
      <c r="P44" s="266"/>
      <c r="Q44" s="318"/>
      <c r="R44" s="318"/>
      <c r="S44" s="352"/>
      <c r="T44" s="318">
        <v>0</v>
      </c>
      <c r="U44" s="592"/>
      <c r="V44" s="276"/>
      <c r="W44" s="74">
        <v>0</v>
      </c>
      <c r="X44" s="5">
        <v>0</v>
      </c>
      <c r="Y44" s="5">
        <v>0</v>
      </c>
      <c r="Z44" s="593"/>
      <c r="AA44" s="594"/>
      <c r="AB44" s="594"/>
      <c r="AC44" s="594"/>
      <c r="AD44" s="74">
        <v>4</v>
      </c>
      <c r="AE44" s="75">
        <v>9</v>
      </c>
      <c r="AF44" s="229">
        <f t="shared" si="19"/>
        <v>1.25</v>
      </c>
      <c r="AG44" s="230"/>
      <c r="AH44" s="231"/>
      <c r="AI44" s="125" t="str">
        <f t="shared" si="22"/>
        <v xml:space="preserve">  </v>
      </c>
      <c r="AJ44" s="369" t="str">
        <f t="shared" si="23"/>
        <v>No</v>
      </c>
      <c r="AK44" s="373" t="str">
        <f t="shared" si="24"/>
        <v>Yes</v>
      </c>
      <c r="AL44" s="373" t="s">
        <v>118</v>
      </c>
      <c r="AM44" s="373"/>
      <c r="AN44" s="373"/>
    </row>
    <row r="45" spans="1:169" ht="12" x14ac:dyDescent="0.2">
      <c r="A45" s="416" t="s">
        <v>54</v>
      </c>
      <c r="B45" s="77"/>
      <c r="C45" s="77"/>
      <c r="D45" s="77"/>
      <c r="E45" s="77"/>
      <c r="F45" s="77"/>
      <c r="G45" s="77">
        <v>0</v>
      </c>
      <c r="H45" s="7"/>
      <c r="I45" s="7"/>
      <c r="J45" s="77"/>
      <c r="K45" s="77"/>
      <c r="L45" s="77"/>
      <c r="M45" s="77">
        <v>0</v>
      </c>
      <c r="N45" s="7">
        <v>0</v>
      </c>
      <c r="O45" s="267">
        <v>0</v>
      </c>
      <c r="P45" s="267">
        <v>0</v>
      </c>
      <c r="Q45" s="319">
        <v>1</v>
      </c>
      <c r="R45" s="319">
        <v>1</v>
      </c>
      <c r="S45" s="353">
        <v>2</v>
      </c>
      <c r="T45" s="319">
        <v>10</v>
      </c>
      <c r="U45" s="319">
        <f>4+2</f>
        <v>6</v>
      </c>
      <c r="V45" s="277">
        <v>19</v>
      </c>
      <c r="W45" s="78">
        <f>4+2</f>
        <v>6</v>
      </c>
      <c r="X45" s="7">
        <v>7</v>
      </c>
      <c r="Y45" s="7">
        <v>11</v>
      </c>
      <c r="Z45" s="78">
        <v>9</v>
      </c>
      <c r="AA45" s="78">
        <v>17</v>
      </c>
      <c r="AB45" s="78">
        <v>10</v>
      </c>
      <c r="AC45" s="78">
        <v>16</v>
      </c>
      <c r="AD45" s="78">
        <v>6</v>
      </c>
      <c r="AE45" s="79">
        <v>14</v>
      </c>
      <c r="AF45" s="232" t="str">
        <f t="shared" si="19"/>
        <v xml:space="preserve"> </v>
      </c>
      <c r="AG45" s="233" t="str">
        <f t="shared" si="20"/>
        <v xml:space="preserve"> </v>
      </c>
      <c r="AH45" s="234" t="str">
        <f t="shared" si="21"/>
        <v xml:space="preserve"> </v>
      </c>
      <c r="AI45" s="246">
        <f t="shared" si="22"/>
        <v>12</v>
      </c>
      <c r="AJ45" s="369" t="str">
        <f t="shared" si="23"/>
        <v>No</v>
      </c>
      <c r="AK45" s="369" t="str">
        <f t="shared" si="24"/>
        <v>No</v>
      </c>
    </row>
    <row r="46" spans="1:169" ht="12" hidden="1" x14ac:dyDescent="0.2">
      <c r="A46" s="415" t="s">
        <v>151</v>
      </c>
      <c r="B46" s="73">
        <v>6</v>
      </c>
      <c r="C46" s="73">
        <v>8</v>
      </c>
      <c r="D46" s="73">
        <v>12</v>
      </c>
      <c r="E46" s="73">
        <v>21</v>
      </c>
      <c r="F46" s="73">
        <v>15</v>
      </c>
      <c r="G46" s="73">
        <v>6</v>
      </c>
      <c r="H46" s="5">
        <v>13</v>
      </c>
      <c r="I46" s="5">
        <v>12</v>
      </c>
      <c r="J46" s="73">
        <v>10</v>
      </c>
      <c r="K46" s="73">
        <v>8</v>
      </c>
      <c r="L46" s="73">
        <v>10</v>
      </c>
      <c r="M46" s="73">
        <v>7</v>
      </c>
      <c r="N46" s="5">
        <v>4</v>
      </c>
      <c r="O46" s="266">
        <v>8</v>
      </c>
      <c r="P46" s="266">
        <v>5</v>
      </c>
      <c r="Q46" s="318">
        <v>2</v>
      </c>
      <c r="R46" s="318">
        <v>2</v>
      </c>
      <c r="S46" s="352">
        <v>0</v>
      </c>
      <c r="T46" s="318">
        <v>1</v>
      </c>
      <c r="U46" s="318">
        <v>0</v>
      </c>
      <c r="V46" s="276">
        <v>0</v>
      </c>
      <c r="W46" s="74">
        <v>1</v>
      </c>
      <c r="X46" s="5">
        <v>0</v>
      </c>
      <c r="Y46" s="5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5">
        <v>0</v>
      </c>
      <c r="AF46" s="229" t="str">
        <f t="shared" si="19"/>
        <v xml:space="preserve"> </v>
      </c>
      <c r="AG46" s="230" t="str">
        <f t="shared" si="20"/>
        <v xml:space="preserve"> </v>
      </c>
      <c r="AH46" s="231" t="str">
        <f t="shared" si="21"/>
        <v xml:space="preserve"> </v>
      </c>
      <c r="AI46" s="125" t="str">
        <f t="shared" si="22"/>
        <v xml:space="preserve">  </v>
      </c>
      <c r="AJ46" s="369" t="str">
        <f t="shared" si="23"/>
        <v>Yes</v>
      </c>
      <c r="AK46" s="369" t="str">
        <f t="shared" si="24"/>
        <v>Yes</v>
      </c>
    </row>
    <row r="47" spans="1:169" ht="12" x14ac:dyDescent="0.2">
      <c r="A47" s="415" t="s">
        <v>14</v>
      </c>
      <c r="B47" s="73">
        <v>14</v>
      </c>
      <c r="C47" s="73">
        <v>31</v>
      </c>
      <c r="D47" s="73">
        <v>26</v>
      </c>
      <c r="E47" s="73">
        <v>22</v>
      </c>
      <c r="F47" s="73">
        <v>22</v>
      </c>
      <c r="G47" s="73">
        <v>22</v>
      </c>
      <c r="H47" s="5">
        <v>17</v>
      </c>
      <c r="I47" s="5">
        <v>22</v>
      </c>
      <c r="J47" s="73">
        <v>28</v>
      </c>
      <c r="K47" s="73">
        <v>13</v>
      </c>
      <c r="L47" s="73">
        <v>32</v>
      </c>
      <c r="M47" s="73">
        <v>20</v>
      </c>
      <c r="N47" s="5">
        <v>20</v>
      </c>
      <c r="O47" s="266">
        <v>34</v>
      </c>
      <c r="P47" s="266">
        <v>35</v>
      </c>
      <c r="Q47" s="318">
        <v>37</v>
      </c>
      <c r="R47" s="318">
        <f>28+1</f>
        <v>29</v>
      </c>
      <c r="S47" s="352">
        <f>31+1</f>
        <v>32</v>
      </c>
      <c r="T47" s="318">
        <v>30</v>
      </c>
      <c r="U47" s="318">
        <v>28</v>
      </c>
      <c r="V47" s="276">
        <v>38</v>
      </c>
      <c r="W47" s="74">
        <v>23</v>
      </c>
      <c r="X47" s="5">
        <v>35</v>
      </c>
      <c r="Y47" s="5">
        <v>31</v>
      </c>
      <c r="Z47" s="74">
        <v>30</v>
      </c>
      <c r="AA47" s="74">
        <v>25</v>
      </c>
      <c r="AB47" s="74">
        <v>23</v>
      </c>
      <c r="AC47" s="74">
        <v>15</v>
      </c>
      <c r="AD47" s="74">
        <v>15</v>
      </c>
      <c r="AE47" s="75">
        <v>15</v>
      </c>
      <c r="AF47" s="229" t="str">
        <f t="shared" si="19"/>
        <v xml:space="preserve"> </v>
      </c>
      <c r="AG47" s="230" t="str">
        <f t="shared" si="20"/>
        <v xml:space="preserve"> </v>
      </c>
      <c r="AH47" s="231" t="str">
        <f t="shared" si="21"/>
        <v xml:space="preserve"> </v>
      </c>
      <c r="AI47" s="125">
        <f t="shared" si="22"/>
        <v>15</v>
      </c>
      <c r="AJ47" s="369" t="str">
        <f t="shared" si="23"/>
        <v>No</v>
      </c>
      <c r="AK47" s="369" t="str">
        <f t="shared" si="24"/>
        <v>No</v>
      </c>
    </row>
    <row r="48" spans="1:169" ht="15" x14ac:dyDescent="0.25">
      <c r="A48" s="415" t="s">
        <v>149</v>
      </c>
      <c r="B48" s="73"/>
      <c r="C48" s="73"/>
      <c r="D48" s="73"/>
      <c r="E48" s="73"/>
      <c r="F48" s="73"/>
      <c r="G48" s="73"/>
      <c r="H48" s="5"/>
      <c r="I48" s="5"/>
      <c r="J48" s="73"/>
      <c r="K48" s="73"/>
      <c r="L48" s="73"/>
      <c r="M48" s="73"/>
      <c r="N48" s="5"/>
      <c r="O48" s="266"/>
      <c r="P48" s="266"/>
      <c r="Q48" s="318"/>
      <c r="R48" s="318">
        <v>0</v>
      </c>
      <c r="S48" s="352"/>
      <c r="T48" s="318">
        <v>0</v>
      </c>
      <c r="U48" s="592"/>
      <c r="V48" s="276"/>
      <c r="W48" s="74">
        <v>0</v>
      </c>
      <c r="X48" s="5">
        <v>0</v>
      </c>
      <c r="Y48" s="5">
        <v>0</v>
      </c>
      <c r="Z48" s="593"/>
      <c r="AA48" s="594"/>
      <c r="AB48" s="74">
        <v>1</v>
      </c>
      <c r="AC48" s="74">
        <v>1</v>
      </c>
      <c r="AD48" s="74">
        <v>8</v>
      </c>
      <c r="AE48" s="75">
        <v>6</v>
      </c>
      <c r="AF48" s="229" t="str">
        <f t="shared" si="19"/>
        <v xml:space="preserve"> </v>
      </c>
      <c r="AG48" s="230" t="str">
        <f t="shared" si="20"/>
        <v xml:space="preserve"> </v>
      </c>
      <c r="AH48" s="231" t="str">
        <f t="shared" si="21"/>
        <v xml:space="preserve"> </v>
      </c>
      <c r="AI48" s="125">
        <f t="shared" si="22"/>
        <v>5</v>
      </c>
      <c r="AJ48" s="369" t="str">
        <f t="shared" si="23"/>
        <v>No</v>
      </c>
      <c r="AK48" s="369" t="str">
        <f t="shared" si="24"/>
        <v>No</v>
      </c>
      <c r="AL48" s="605"/>
      <c r="AM48" s="605"/>
      <c r="AN48" s="605"/>
    </row>
    <row r="49" spans="1:169" ht="12" x14ac:dyDescent="0.2">
      <c r="A49" s="417" t="s">
        <v>19</v>
      </c>
      <c r="B49" s="73">
        <v>21</v>
      </c>
      <c r="C49" s="73">
        <v>21</v>
      </c>
      <c r="D49" s="73">
        <v>24</v>
      </c>
      <c r="E49" s="73">
        <v>22</v>
      </c>
      <c r="F49" s="73">
        <v>21</v>
      </c>
      <c r="G49" s="73">
        <v>16</v>
      </c>
      <c r="H49" s="5">
        <v>27</v>
      </c>
      <c r="I49" s="5">
        <v>12</v>
      </c>
      <c r="J49" s="73">
        <v>22</v>
      </c>
      <c r="K49" s="73">
        <v>24</v>
      </c>
      <c r="L49" s="73">
        <v>22</v>
      </c>
      <c r="M49" s="73">
        <v>22</v>
      </c>
      <c r="N49" s="5">
        <v>24</v>
      </c>
      <c r="O49" s="266">
        <v>28</v>
      </c>
      <c r="P49" s="266">
        <v>14</v>
      </c>
      <c r="Q49" s="318">
        <v>19</v>
      </c>
      <c r="R49" s="318">
        <f>23+4</f>
        <v>27</v>
      </c>
      <c r="S49" s="352">
        <f>24+2</f>
        <v>26</v>
      </c>
      <c r="T49" s="318">
        <v>26</v>
      </c>
      <c r="U49" s="318">
        <f>30+1</f>
        <v>31</v>
      </c>
      <c r="V49" s="276">
        <v>33</v>
      </c>
      <c r="W49" s="74">
        <f>32+1</f>
        <v>33</v>
      </c>
      <c r="X49" s="5">
        <v>31</v>
      </c>
      <c r="Y49" s="5">
        <v>26</v>
      </c>
      <c r="Z49" s="74">
        <v>27</v>
      </c>
      <c r="AA49" s="74">
        <v>21</v>
      </c>
      <c r="AB49" s="74">
        <v>36</v>
      </c>
      <c r="AC49" s="74">
        <v>21</v>
      </c>
      <c r="AD49" s="74">
        <v>21</v>
      </c>
      <c r="AE49" s="75">
        <v>14</v>
      </c>
      <c r="AF49" s="229" t="str">
        <f t="shared" si="19"/>
        <v xml:space="preserve"> </v>
      </c>
      <c r="AG49" s="230" t="str">
        <f t="shared" si="20"/>
        <v xml:space="preserve"> </v>
      </c>
      <c r="AH49" s="231" t="str">
        <f t="shared" si="21"/>
        <v xml:space="preserve"> </v>
      </c>
      <c r="AI49" s="125">
        <f t="shared" si="22"/>
        <v>18.666666666666668</v>
      </c>
      <c r="AJ49" s="369" t="str">
        <f t="shared" si="23"/>
        <v>No</v>
      </c>
      <c r="AK49" s="369" t="str">
        <f t="shared" si="24"/>
        <v>No</v>
      </c>
    </row>
    <row r="50" spans="1:169" ht="12" x14ac:dyDescent="0.2">
      <c r="A50" s="417" t="s">
        <v>23</v>
      </c>
      <c r="B50" s="73">
        <v>1</v>
      </c>
      <c r="C50" s="73">
        <v>5</v>
      </c>
      <c r="D50" s="73">
        <v>8</v>
      </c>
      <c r="E50" s="73">
        <v>5</v>
      </c>
      <c r="F50" s="73">
        <v>4</v>
      </c>
      <c r="G50" s="73">
        <v>9</v>
      </c>
      <c r="H50" s="5">
        <v>5</v>
      </c>
      <c r="I50" s="5">
        <v>8</v>
      </c>
      <c r="J50" s="73">
        <v>13</v>
      </c>
      <c r="K50" s="73">
        <v>8</v>
      </c>
      <c r="L50" s="73">
        <v>4</v>
      </c>
      <c r="M50" s="73">
        <v>12</v>
      </c>
      <c r="N50" s="5">
        <v>8</v>
      </c>
      <c r="O50" s="266">
        <v>13</v>
      </c>
      <c r="P50" s="266">
        <v>6</v>
      </c>
      <c r="Q50" s="318">
        <v>8</v>
      </c>
      <c r="R50" s="318">
        <v>7</v>
      </c>
      <c r="S50" s="352">
        <v>5</v>
      </c>
      <c r="T50" s="318">
        <v>11</v>
      </c>
      <c r="U50" s="318">
        <v>9</v>
      </c>
      <c r="V50" s="276">
        <v>12</v>
      </c>
      <c r="W50" s="74">
        <v>21</v>
      </c>
      <c r="X50" s="5">
        <v>18</v>
      </c>
      <c r="Y50" s="5">
        <v>30</v>
      </c>
      <c r="Z50" s="74">
        <v>12</v>
      </c>
      <c r="AA50" s="74">
        <v>20</v>
      </c>
      <c r="AB50" s="74">
        <v>14</v>
      </c>
      <c r="AC50" s="74">
        <v>9</v>
      </c>
      <c r="AD50" s="74">
        <v>8</v>
      </c>
      <c r="AE50" s="75">
        <v>5</v>
      </c>
      <c r="AF50" s="229" t="str">
        <f t="shared" si="19"/>
        <v xml:space="preserve"> </v>
      </c>
      <c r="AG50" s="230" t="str">
        <f t="shared" si="20"/>
        <v xml:space="preserve"> </v>
      </c>
      <c r="AH50" s="231" t="str">
        <f t="shared" si="21"/>
        <v xml:space="preserve"> </v>
      </c>
      <c r="AI50" s="125">
        <f t="shared" si="22"/>
        <v>7.333333333333333</v>
      </c>
      <c r="AJ50" s="369" t="str">
        <f t="shared" si="23"/>
        <v>No</v>
      </c>
      <c r="AK50" s="369" t="str">
        <f t="shared" si="24"/>
        <v>No</v>
      </c>
    </row>
    <row r="51" spans="1:169" ht="15" hidden="1" x14ac:dyDescent="0.25">
      <c r="A51" s="417" t="s">
        <v>125</v>
      </c>
      <c r="B51" s="73">
        <v>8</v>
      </c>
      <c r="C51" s="73">
        <v>2</v>
      </c>
      <c r="D51" s="73"/>
      <c r="E51" s="73">
        <v>2</v>
      </c>
      <c r="F51" s="73">
        <v>0</v>
      </c>
      <c r="G51" s="73">
        <v>0</v>
      </c>
      <c r="H51" s="5">
        <v>0</v>
      </c>
      <c r="I51" s="5">
        <v>0</v>
      </c>
      <c r="J51" s="73">
        <v>0</v>
      </c>
      <c r="K51" s="73">
        <v>0</v>
      </c>
      <c r="L51" s="73">
        <v>0</v>
      </c>
      <c r="M51" s="73">
        <v>0</v>
      </c>
      <c r="N51" s="5">
        <v>0</v>
      </c>
      <c r="O51" s="266"/>
      <c r="P51" s="266"/>
      <c r="Q51" s="318"/>
      <c r="R51" s="318"/>
      <c r="S51" s="352"/>
      <c r="T51" s="318"/>
      <c r="U51" s="318"/>
      <c r="V51" s="276"/>
      <c r="W51" s="74"/>
      <c r="X51" s="5"/>
      <c r="Y51" s="5"/>
      <c r="Z51" s="74"/>
      <c r="AA51" s="74"/>
      <c r="AB51" s="74"/>
      <c r="AC51" s="74"/>
      <c r="AD51" s="74"/>
      <c r="AE51" s="75"/>
      <c r="AF51" s="229" t="str">
        <f t="shared" si="19"/>
        <v xml:space="preserve"> </v>
      </c>
      <c r="AG51" s="230" t="str">
        <f t="shared" si="20"/>
        <v xml:space="preserve"> </v>
      </c>
      <c r="AH51" s="231" t="str">
        <f t="shared" si="21"/>
        <v xml:space="preserve"> </v>
      </c>
      <c r="AI51" s="125" t="str">
        <f t="shared" si="22"/>
        <v xml:space="preserve">  </v>
      </c>
      <c r="AJ51" s="604" t="str">
        <f t="shared" si="23"/>
        <v>Yes</v>
      </c>
      <c r="AK51" s="604" t="str">
        <f t="shared" si="24"/>
        <v>Yes</v>
      </c>
    </row>
    <row r="52" spans="1:169" ht="15" x14ac:dyDescent="0.25">
      <c r="A52" s="418" t="s">
        <v>150</v>
      </c>
      <c r="B52" s="110"/>
      <c r="C52" s="110"/>
      <c r="D52" s="110"/>
      <c r="E52" s="110"/>
      <c r="F52" s="110"/>
      <c r="G52" s="110"/>
      <c r="H52" s="94"/>
      <c r="I52" s="94"/>
      <c r="J52" s="110"/>
      <c r="K52" s="110"/>
      <c r="L52" s="110"/>
      <c r="M52" s="110"/>
      <c r="N52" s="94"/>
      <c r="O52" s="274"/>
      <c r="P52" s="274">
        <v>0</v>
      </c>
      <c r="Q52" s="327"/>
      <c r="R52" s="327">
        <v>0</v>
      </c>
      <c r="S52" s="357"/>
      <c r="T52" s="327">
        <v>0</v>
      </c>
      <c r="U52" s="592"/>
      <c r="V52" s="282">
        <v>0</v>
      </c>
      <c r="W52" s="83">
        <v>0</v>
      </c>
      <c r="X52" s="94">
        <v>0</v>
      </c>
      <c r="Y52" s="94">
        <v>0</v>
      </c>
      <c r="Z52" s="83">
        <v>1</v>
      </c>
      <c r="AA52" s="83">
        <v>6</v>
      </c>
      <c r="AB52" s="83">
        <v>1</v>
      </c>
      <c r="AC52" s="83">
        <v>6</v>
      </c>
      <c r="AD52" s="83">
        <v>5</v>
      </c>
      <c r="AE52" s="82">
        <v>2</v>
      </c>
      <c r="AF52" s="557" t="str">
        <f t="shared" si="19"/>
        <v xml:space="preserve"> </v>
      </c>
      <c r="AG52" s="558" t="str">
        <f t="shared" si="20"/>
        <v xml:space="preserve"> </v>
      </c>
      <c r="AH52" s="559" t="str">
        <f t="shared" si="21"/>
        <v xml:space="preserve"> </v>
      </c>
      <c r="AI52" s="553">
        <f t="shared" si="22"/>
        <v>4.333333333333333</v>
      </c>
      <c r="AJ52" s="606" t="str">
        <f t="shared" si="23"/>
        <v>Yes</v>
      </c>
      <c r="AK52" s="361" t="str">
        <f t="shared" si="24"/>
        <v>Yes</v>
      </c>
    </row>
    <row r="53" spans="1:169" s="17" customFormat="1" ht="12.75" thickBot="1" x14ac:dyDescent="0.25">
      <c r="A53" s="419" t="s">
        <v>77</v>
      </c>
      <c r="B53" s="111">
        <f t="shared" ref="B53" si="25">SUM(B40:B51)</f>
        <v>139</v>
      </c>
      <c r="C53" s="111">
        <f t="shared" ref="C53:O53" si="26">SUM(C41:C51)</f>
        <v>153</v>
      </c>
      <c r="D53" s="111">
        <f t="shared" si="26"/>
        <v>183</v>
      </c>
      <c r="E53" s="111">
        <f t="shared" si="26"/>
        <v>214</v>
      </c>
      <c r="F53" s="111">
        <f t="shared" si="26"/>
        <v>179</v>
      </c>
      <c r="G53" s="111">
        <f t="shared" si="26"/>
        <v>151</v>
      </c>
      <c r="H53" s="111">
        <f t="shared" si="26"/>
        <v>168</v>
      </c>
      <c r="I53" s="111">
        <f t="shared" si="26"/>
        <v>167</v>
      </c>
      <c r="J53" s="111">
        <f t="shared" si="26"/>
        <v>193</v>
      </c>
      <c r="K53" s="111">
        <f t="shared" si="26"/>
        <v>146</v>
      </c>
      <c r="L53" s="111">
        <f t="shared" si="26"/>
        <v>177</v>
      </c>
      <c r="M53" s="111">
        <f t="shared" si="26"/>
        <v>169</v>
      </c>
      <c r="N53" s="111">
        <f t="shared" si="26"/>
        <v>166</v>
      </c>
      <c r="O53" s="275">
        <f t="shared" si="26"/>
        <v>192</v>
      </c>
      <c r="P53" s="294">
        <f t="shared" ref="P53:Q53" si="27">SUM(P41:P52)</f>
        <v>171</v>
      </c>
      <c r="Q53" s="328">
        <f t="shared" si="27"/>
        <v>180</v>
      </c>
      <c r="R53" s="328">
        <f>SUM(R41:R52)</f>
        <v>200</v>
      </c>
      <c r="S53" s="328">
        <f>SUM(S41:S52)</f>
        <v>189</v>
      </c>
      <c r="T53" s="328">
        <f>SUM(T41:T52)</f>
        <v>206</v>
      </c>
      <c r="U53" s="328">
        <f>SUM(U41:U52)</f>
        <v>213</v>
      </c>
      <c r="V53" s="182">
        <f t="shared" ref="V53:AE53" si="28">SUM(V41:V52)</f>
        <v>262</v>
      </c>
      <c r="W53" s="111">
        <f>SUM(W41:W52)</f>
        <v>248</v>
      </c>
      <c r="X53" s="111">
        <f t="shared" si="28"/>
        <v>245</v>
      </c>
      <c r="Y53" s="111">
        <f t="shared" si="28"/>
        <v>256</v>
      </c>
      <c r="Z53" s="111">
        <f t="shared" si="28"/>
        <v>239</v>
      </c>
      <c r="AA53" s="111">
        <f t="shared" si="28"/>
        <v>254</v>
      </c>
      <c r="AB53" s="111">
        <f t="shared" si="28"/>
        <v>216</v>
      </c>
      <c r="AC53" s="111">
        <f t="shared" si="28"/>
        <v>202</v>
      </c>
      <c r="AD53" s="111">
        <f t="shared" si="28"/>
        <v>175</v>
      </c>
      <c r="AE53" s="111">
        <f t="shared" si="28"/>
        <v>183</v>
      </c>
      <c r="AF53" s="200">
        <f>IF(AE53=0," ",IF(AI53&gt;20,(AE53-AD53)/AD53," "))</f>
        <v>4.5714285714285714E-2</v>
      </c>
      <c r="AG53" s="112">
        <f t="shared" si="20"/>
        <v>-0.23430962343096234</v>
      </c>
      <c r="AH53" s="113">
        <f t="shared" si="21"/>
        <v>-0.14084507042253522</v>
      </c>
      <c r="AI53" s="201">
        <f t="shared" si="22"/>
        <v>186.66666666666666</v>
      </c>
      <c r="AJ53" s="89"/>
      <c r="AK53" s="91"/>
      <c r="AL53" s="91"/>
      <c r="AM53" s="91"/>
      <c r="AN53" s="91"/>
      <c r="AO53" s="91"/>
      <c r="AP53" s="91"/>
      <c r="AQ53" s="91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</row>
    <row r="54" spans="1:169" s="17" customFormat="1" ht="12.75" thickTop="1" x14ac:dyDescent="0.2">
      <c r="A54" s="420" t="s">
        <v>78</v>
      </c>
      <c r="B54" s="25"/>
      <c r="C54" s="26"/>
      <c r="D54" s="26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7"/>
      <c r="P54" s="27"/>
      <c r="Q54" s="27"/>
      <c r="R54" s="27"/>
      <c r="S54" s="27"/>
      <c r="T54" s="27"/>
      <c r="U54" s="27"/>
      <c r="V54" s="27"/>
      <c r="W54" s="27"/>
      <c r="X54" s="28"/>
      <c r="Y54" s="28"/>
      <c r="Z54" s="28"/>
      <c r="AA54" s="28"/>
      <c r="AB54" s="28"/>
      <c r="AC54" s="28"/>
      <c r="AD54" s="28"/>
      <c r="AE54" s="28"/>
      <c r="AF54" s="28"/>
      <c r="AG54" s="29"/>
      <c r="AH54" s="29"/>
      <c r="AI54" s="217"/>
      <c r="AJ54" s="89"/>
      <c r="AK54" s="91"/>
      <c r="AL54" s="91"/>
      <c r="AM54" s="91"/>
      <c r="AN54" s="91"/>
      <c r="AO54" s="91"/>
      <c r="AP54" s="91"/>
      <c r="AQ54" s="91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</row>
    <row r="55" spans="1:169" ht="12" x14ac:dyDescent="0.2">
      <c r="A55" s="555" t="s">
        <v>0</v>
      </c>
      <c r="B55" s="100">
        <v>62</v>
      </c>
      <c r="C55" s="100">
        <v>49</v>
      </c>
      <c r="D55" s="100">
        <v>55</v>
      </c>
      <c r="E55" s="100">
        <v>60</v>
      </c>
      <c r="F55" s="100">
        <v>42</v>
      </c>
      <c r="G55" s="100">
        <v>26</v>
      </c>
      <c r="H55" s="93">
        <v>46</v>
      </c>
      <c r="I55" s="93">
        <v>30</v>
      </c>
      <c r="J55" s="100">
        <v>25</v>
      </c>
      <c r="K55" s="100">
        <v>32</v>
      </c>
      <c r="L55" s="100">
        <v>34</v>
      </c>
      <c r="M55" s="100">
        <v>40</v>
      </c>
      <c r="N55" s="93">
        <v>38</v>
      </c>
      <c r="O55" s="265">
        <v>30</v>
      </c>
      <c r="P55" s="265">
        <v>61</v>
      </c>
      <c r="Q55" s="324">
        <v>60</v>
      </c>
      <c r="R55" s="324">
        <v>53</v>
      </c>
      <c r="S55" s="351">
        <f>46+1</f>
        <v>47</v>
      </c>
      <c r="T55" s="324">
        <v>44</v>
      </c>
      <c r="U55" s="324">
        <f>56+1</f>
        <v>57</v>
      </c>
      <c r="V55" s="280">
        <v>53</v>
      </c>
      <c r="W55" s="92">
        <f>66+3</f>
        <v>69</v>
      </c>
      <c r="X55" s="93">
        <v>81</v>
      </c>
      <c r="Y55" s="93">
        <v>60</v>
      </c>
      <c r="Z55" s="92">
        <v>40</v>
      </c>
      <c r="AA55" s="92">
        <v>63</v>
      </c>
      <c r="AB55" s="92">
        <v>46</v>
      </c>
      <c r="AC55" s="92">
        <v>37</v>
      </c>
      <c r="AD55" s="92">
        <v>41</v>
      </c>
      <c r="AE55" s="101">
        <v>35</v>
      </c>
      <c r="AF55" s="345">
        <f t="shared" ref="AF55:AF63" si="29">IF(AE55=0," ",IF(AI55&gt;20,(AE55-AD55)/AD55," "))</f>
        <v>-0.14634146341463414</v>
      </c>
      <c r="AG55" s="346">
        <f t="shared" ref="AG55:AG64" si="30">IF(AE55=0," ",IF(AI55&gt;20,(AE55-Z55)/Z55," "))</f>
        <v>-0.125</v>
      </c>
      <c r="AH55" s="347">
        <f t="shared" ref="AH55:AH64" si="31">IF(AE55=0," ",(IF(AI55&gt;20,(AE55-U55)/U55," ")))</f>
        <v>-0.38596491228070173</v>
      </c>
      <c r="AI55" s="247">
        <f t="shared" ref="AI55:AI64" si="32">IF(AC55&gt;0,AVERAGE(AC55:AE55),"  ")</f>
        <v>37.666666666666664</v>
      </c>
      <c r="AJ55" s="369" t="str">
        <f t="shared" ref="AJ55:AJ63" si="33">IF(AE55&lt;5,"Yes","No")</f>
        <v>No</v>
      </c>
      <c r="AK55" s="369" t="str">
        <f t="shared" ref="AK55:AK63" si="34">IF((AC55+AD55+AE55)&lt;15,"Yes","No")</f>
        <v>No</v>
      </c>
    </row>
    <row r="56" spans="1:169" ht="15" x14ac:dyDescent="0.25">
      <c r="A56" s="408" t="s">
        <v>181</v>
      </c>
      <c r="B56" s="73">
        <v>117</v>
      </c>
      <c r="C56" s="73">
        <v>114</v>
      </c>
      <c r="D56" s="73">
        <v>129</v>
      </c>
      <c r="E56" s="73">
        <v>134</v>
      </c>
      <c r="F56" s="73">
        <v>153</v>
      </c>
      <c r="G56" s="73">
        <v>141</v>
      </c>
      <c r="H56" s="5">
        <v>181</v>
      </c>
      <c r="I56" s="5">
        <v>171</v>
      </c>
      <c r="J56" s="73">
        <v>168</v>
      </c>
      <c r="K56" s="73">
        <v>100</v>
      </c>
      <c r="L56" s="73">
        <v>29</v>
      </c>
      <c r="M56" s="73">
        <v>16</v>
      </c>
      <c r="N56" s="5">
        <v>10</v>
      </c>
      <c r="O56" s="266">
        <v>14</v>
      </c>
      <c r="P56" s="266">
        <v>26</v>
      </c>
      <c r="Q56" s="318">
        <v>26</v>
      </c>
      <c r="R56" s="318">
        <v>20</v>
      </c>
      <c r="S56" s="352">
        <f>23+1</f>
        <v>24</v>
      </c>
      <c r="T56" s="318">
        <v>18</v>
      </c>
      <c r="U56" s="318">
        <v>21</v>
      </c>
      <c r="V56" s="276">
        <v>10</v>
      </c>
      <c r="W56" s="74">
        <v>12</v>
      </c>
      <c r="X56" s="5">
        <v>1</v>
      </c>
      <c r="Y56" s="5">
        <v>0</v>
      </c>
      <c r="Z56" s="593"/>
      <c r="AA56" s="594"/>
      <c r="AB56" s="594"/>
      <c r="AC56" s="594"/>
      <c r="AD56" s="594"/>
      <c r="AE56" s="595"/>
      <c r="AF56" s="229" t="str">
        <f t="shared" si="29"/>
        <v xml:space="preserve"> </v>
      </c>
      <c r="AG56" s="230" t="str">
        <f t="shared" si="30"/>
        <v xml:space="preserve"> </v>
      </c>
      <c r="AH56" s="231" t="str">
        <f t="shared" si="31"/>
        <v xml:space="preserve"> </v>
      </c>
      <c r="AI56" s="125" t="str">
        <f t="shared" si="32"/>
        <v xml:space="preserve">  </v>
      </c>
      <c r="AJ56" s="361" t="str">
        <f t="shared" si="33"/>
        <v>Yes</v>
      </c>
      <c r="AK56" s="361" t="str">
        <f t="shared" si="34"/>
        <v>Yes</v>
      </c>
      <c r="AL56" s="360" t="s">
        <v>113</v>
      </c>
    </row>
    <row r="57" spans="1:169" ht="12" x14ac:dyDescent="0.2">
      <c r="A57" s="421" t="s">
        <v>153</v>
      </c>
      <c r="B57" s="73"/>
      <c r="C57" s="73"/>
      <c r="D57" s="73"/>
      <c r="E57" s="73"/>
      <c r="F57" s="73"/>
      <c r="G57" s="73"/>
      <c r="H57" s="5"/>
      <c r="I57" s="5"/>
      <c r="J57" s="73"/>
      <c r="K57" s="73"/>
      <c r="L57" s="73"/>
      <c r="M57" s="73"/>
      <c r="N57" s="5"/>
      <c r="O57" s="266"/>
      <c r="P57" s="266"/>
      <c r="Q57" s="318"/>
      <c r="R57" s="318">
        <v>0</v>
      </c>
      <c r="S57" s="352"/>
      <c r="T57" s="318">
        <v>0</v>
      </c>
      <c r="U57" s="592"/>
      <c r="V57" s="276">
        <v>2</v>
      </c>
      <c r="W57" s="74">
        <v>3</v>
      </c>
      <c r="X57" s="5">
        <v>8</v>
      </c>
      <c r="Y57" s="5">
        <v>10</v>
      </c>
      <c r="Z57" s="74">
        <v>13</v>
      </c>
      <c r="AA57" s="74">
        <v>8</v>
      </c>
      <c r="AB57" s="74">
        <v>5</v>
      </c>
      <c r="AC57" s="74">
        <v>5</v>
      </c>
      <c r="AD57" s="74">
        <v>4</v>
      </c>
      <c r="AE57" s="75">
        <v>7</v>
      </c>
      <c r="AF57" s="229" t="str">
        <f t="shared" si="29"/>
        <v xml:space="preserve"> </v>
      </c>
      <c r="AG57" s="230" t="str">
        <f t="shared" si="30"/>
        <v xml:space="preserve"> </v>
      </c>
      <c r="AH57" s="231" t="str">
        <f t="shared" si="31"/>
        <v xml:space="preserve"> </v>
      </c>
      <c r="AI57" s="125">
        <f t="shared" si="32"/>
        <v>5.333333333333333</v>
      </c>
      <c r="AJ57" s="369" t="str">
        <f t="shared" si="33"/>
        <v>No</v>
      </c>
      <c r="AK57" s="369" t="str">
        <f t="shared" si="34"/>
        <v>No</v>
      </c>
    </row>
    <row r="58" spans="1:169" ht="12" x14ac:dyDescent="0.2">
      <c r="A58" s="408" t="s">
        <v>7</v>
      </c>
      <c r="B58" s="73">
        <v>8</v>
      </c>
      <c r="C58" s="73">
        <v>14</v>
      </c>
      <c r="D58" s="73">
        <v>6</v>
      </c>
      <c r="E58" s="73">
        <v>14</v>
      </c>
      <c r="F58" s="73">
        <v>1</v>
      </c>
      <c r="G58" s="73">
        <v>6</v>
      </c>
      <c r="H58" s="5">
        <v>11</v>
      </c>
      <c r="I58" s="5">
        <v>2</v>
      </c>
      <c r="J58" s="73">
        <v>2</v>
      </c>
      <c r="K58" s="73">
        <v>3</v>
      </c>
      <c r="L58" s="73">
        <v>8</v>
      </c>
      <c r="M58" s="73">
        <v>8</v>
      </c>
      <c r="N58" s="5">
        <v>5</v>
      </c>
      <c r="O58" s="266">
        <v>10</v>
      </c>
      <c r="P58" s="266">
        <v>6</v>
      </c>
      <c r="Q58" s="318">
        <v>16</v>
      </c>
      <c r="R58" s="318">
        <f>10+2</f>
        <v>12</v>
      </c>
      <c r="S58" s="352">
        <v>17</v>
      </c>
      <c r="T58" s="318">
        <v>13</v>
      </c>
      <c r="U58" s="318">
        <v>15</v>
      </c>
      <c r="V58" s="276">
        <v>20</v>
      </c>
      <c r="W58" s="74">
        <f>11+3</f>
        <v>14</v>
      </c>
      <c r="X58" s="5">
        <v>18</v>
      </c>
      <c r="Y58" s="5">
        <v>26</v>
      </c>
      <c r="Z58" s="74">
        <v>10</v>
      </c>
      <c r="AA58" s="74">
        <v>22</v>
      </c>
      <c r="AB58" s="74">
        <v>18</v>
      </c>
      <c r="AC58" s="74">
        <v>8</v>
      </c>
      <c r="AD58" s="74">
        <v>14</v>
      </c>
      <c r="AE58" s="75">
        <v>8</v>
      </c>
      <c r="AF58" s="229" t="str">
        <f t="shared" si="29"/>
        <v xml:space="preserve"> </v>
      </c>
      <c r="AG58" s="230" t="str">
        <f t="shared" si="30"/>
        <v xml:space="preserve"> </v>
      </c>
      <c r="AH58" s="231" t="str">
        <f t="shared" si="31"/>
        <v xml:space="preserve"> </v>
      </c>
      <c r="AI58" s="125">
        <f t="shared" si="32"/>
        <v>10</v>
      </c>
      <c r="AJ58" s="369" t="str">
        <f t="shared" si="33"/>
        <v>No</v>
      </c>
      <c r="AK58" s="369" t="str">
        <f t="shared" si="34"/>
        <v>No</v>
      </c>
    </row>
    <row r="59" spans="1:169" ht="12" x14ac:dyDescent="0.2">
      <c r="A59" s="410" t="s">
        <v>12</v>
      </c>
      <c r="B59" s="77"/>
      <c r="C59" s="77"/>
      <c r="D59" s="77"/>
      <c r="E59" s="77"/>
      <c r="F59" s="77"/>
      <c r="G59" s="77"/>
      <c r="H59" s="7"/>
      <c r="I59" s="7"/>
      <c r="J59" s="77">
        <v>23</v>
      </c>
      <c r="K59" s="77">
        <v>28</v>
      </c>
      <c r="L59" s="77">
        <v>42</v>
      </c>
      <c r="M59" s="77">
        <v>59</v>
      </c>
      <c r="N59" s="7">
        <v>66</v>
      </c>
      <c r="O59" s="267">
        <v>61</v>
      </c>
      <c r="P59" s="267">
        <v>90</v>
      </c>
      <c r="Q59" s="319">
        <v>90</v>
      </c>
      <c r="R59" s="319">
        <f>48+7</f>
        <v>55</v>
      </c>
      <c r="S59" s="353">
        <f>58+5</f>
        <v>63</v>
      </c>
      <c r="T59" s="319">
        <v>43</v>
      </c>
      <c r="U59" s="319">
        <f>48+6</f>
        <v>54</v>
      </c>
      <c r="V59" s="277">
        <v>46</v>
      </c>
      <c r="W59" s="78">
        <f>49+3</f>
        <v>52</v>
      </c>
      <c r="X59" s="7">
        <v>75</v>
      </c>
      <c r="Y59" s="7">
        <v>56</v>
      </c>
      <c r="Z59" s="78">
        <v>66</v>
      </c>
      <c r="AA59" s="78">
        <v>56</v>
      </c>
      <c r="AB59" s="78">
        <v>64</v>
      </c>
      <c r="AC59" s="78">
        <v>55</v>
      </c>
      <c r="AD59" s="78">
        <v>44</v>
      </c>
      <c r="AE59" s="79">
        <v>48</v>
      </c>
      <c r="AF59" s="232">
        <f t="shared" si="29"/>
        <v>9.0909090909090912E-2</v>
      </c>
      <c r="AG59" s="233">
        <f t="shared" si="30"/>
        <v>-0.27272727272727271</v>
      </c>
      <c r="AH59" s="234">
        <f t="shared" si="31"/>
        <v>-0.1111111111111111</v>
      </c>
      <c r="AI59" s="246">
        <f t="shared" si="32"/>
        <v>49</v>
      </c>
      <c r="AJ59" s="369" t="str">
        <f>IF(AE59&lt;5,"Yes","No")</f>
        <v>No</v>
      </c>
      <c r="AK59" s="369" t="str">
        <f>IF((AC59+AD59+AE59)&lt;15,"Yes","No")</f>
        <v>No</v>
      </c>
    </row>
    <row r="60" spans="1:169" ht="12" x14ac:dyDescent="0.2">
      <c r="A60" s="408" t="s">
        <v>63</v>
      </c>
      <c r="B60" s="73">
        <v>22</v>
      </c>
      <c r="C60" s="73">
        <v>16</v>
      </c>
      <c r="D60" s="73">
        <v>22</v>
      </c>
      <c r="E60" s="73">
        <v>38</v>
      </c>
      <c r="F60" s="73">
        <v>36</v>
      </c>
      <c r="G60" s="73">
        <v>33</v>
      </c>
      <c r="H60" s="5">
        <v>56</v>
      </c>
      <c r="I60" s="5">
        <v>69</v>
      </c>
      <c r="J60" s="73">
        <v>65</v>
      </c>
      <c r="K60" s="73">
        <v>36</v>
      </c>
      <c r="L60" s="73">
        <v>38</v>
      </c>
      <c r="M60" s="73">
        <v>25</v>
      </c>
      <c r="N60" s="5">
        <v>25</v>
      </c>
      <c r="O60" s="266">
        <v>29</v>
      </c>
      <c r="P60" s="266">
        <v>21</v>
      </c>
      <c r="Q60" s="318">
        <v>27</v>
      </c>
      <c r="R60" s="318">
        <f>32+3</f>
        <v>35</v>
      </c>
      <c r="S60" s="352">
        <f>49+5</f>
        <v>54</v>
      </c>
      <c r="T60" s="318">
        <v>64</v>
      </c>
      <c r="U60" s="318">
        <f>56+8</f>
        <v>64</v>
      </c>
      <c r="V60" s="276">
        <v>67</v>
      </c>
      <c r="W60" s="74">
        <f>38+16</f>
        <v>54</v>
      </c>
      <c r="X60" s="5">
        <v>59</v>
      </c>
      <c r="Y60" s="5">
        <v>56</v>
      </c>
      <c r="Z60" s="74">
        <v>68</v>
      </c>
      <c r="AA60" s="74">
        <v>51</v>
      </c>
      <c r="AB60" s="74">
        <v>66</v>
      </c>
      <c r="AC60" s="74">
        <v>48</v>
      </c>
      <c r="AD60" s="74">
        <v>55</v>
      </c>
      <c r="AE60" s="75">
        <v>57</v>
      </c>
      <c r="AF60" s="229">
        <f t="shared" si="29"/>
        <v>3.6363636363636362E-2</v>
      </c>
      <c r="AG60" s="230">
        <f t="shared" si="30"/>
        <v>-0.16176470588235295</v>
      </c>
      <c r="AH60" s="231">
        <f t="shared" si="31"/>
        <v>-0.109375</v>
      </c>
      <c r="AI60" s="125">
        <f t="shared" si="32"/>
        <v>53.333333333333336</v>
      </c>
      <c r="AJ60" s="369" t="str">
        <f t="shared" si="33"/>
        <v>No</v>
      </c>
      <c r="AK60" s="369" t="str">
        <f t="shared" si="34"/>
        <v>No</v>
      </c>
    </row>
    <row r="61" spans="1:169" ht="12" x14ac:dyDescent="0.2">
      <c r="A61" s="412" t="s">
        <v>152</v>
      </c>
      <c r="B61" s="73"/>
      <c r="C61" s="73"/>
      <c r="D61" s="73"/>
      <c r="E61" s="73"/>
      <c r="F61" s="73"/>
      <c r="G61" s="73"/>
      <c r="H61" s="5"/>
      <c r="I61" s="5"/>
      <c r="J61" s="73"/>
      <c r="K61" s="73"/>
      <c r="L61" s="73"/>
      <c r="M61" s="73"/>
      <c r="N61" s="5"/>
      <c r="O61" s="266"/>
      <c r="P61" s="266"/>
      <c r="Q61" s="318"/>
      <c r="R61" s="318">
        <v>0</v>
      </c>
      <c r="S61" s="352"/>
      <c r="T61" s="318">
        <v>0</v>
      </c>
      <c r="U61" s="592"/>
      <c r="V61" s="276"/>
      <c r="W61" s="74">
        <v>2</v>
      </c>
      <c r="X61" s="5">
        <v>5</v>
      </c>
      <c r="Y61" s="5">
        <v>1</v>
      </c>
      <c r="Z61" s="74">
        <v>3</v>
      </c>
      <c r="AA61" s="74">
        <v>3</v>
      </c>
      <c r="AB61" s="74">
        <v>2</v>
      </c>
      <c r="AC61" s="74">
        <v>2</v>
      </c>
      <c r="AD61" s="74">
        <v>9</v>
      </c>
      <c r="AE61" s="75">
        <v>11</v>
      </c>
      <c r="AF61" s="229" t="str">
        <f t="shared" si="29"/>
        <v xml:space="preserve"> </v>
      </c>
      <c r="AG61" s="230" t="str">
        <f t="shared" si="30"/>
        <v xml:space="preserve"> </v>
      </c>
      <c r="AH61" s="231" t="str">
        <f t="shared" si="31"/>
        <v xml:space="preserve"> </v>
      </c>
      <c r="AI61" s="125">
        <f t="shared" si="32"/>
        <v>7.333333333333333</v>
      </c>
      <c r="AJ61" s="369" t="str">
        <f t="shared" si="33"/>
        <v>No</v>
      </c>
      <c r="AK61" s="369" t="str">
        <f t="shared" si="34"/>
        <v>No</v>
      </c>
    </row>
    <row r="62" spans="1:169" ht="12" x14ac:dyDescent="0.2">
      <c r="A62" s="408" t="s">
        <v>17</v>
      </c>
      <c r="B62" s="73"/>
      <c r="C62" s="73"/>
      <c r="D62" s="73"/>
      <c r="E62" s="73"/>
      <c r="F62" s="73"/>
      <c r="G62" s="73"/>
      <c r="H62" s="5"/>
      <c r="I62" s="5"/>
      <c r="J62" s="73">
        <v>1</v>
      </c>
      <c r="K62" s="73">
        <v>20</v>
      </c>
      <c r="L62" s="73">
        <v>54</v>
      </c>
      <c r="M62" s="73">
        <v>91</v>
      </c>
      <c r="N62" s="5">
        <v>95</v>
      </c>
      <c r="O62" s="266">
        <v>91</v>
      </c>
      <c r="P62" s="266">
        <v>102</v>
      </c>
      <c r="Q62" s="318">
        <v>103</v>
      </c>
      <c r="R62" s="318">
        <f>101+4</f>
        <v>105</v>
      </c>
      <c r="S62" s="352">
        <f>95+3</f>
        <v>98</v>
      </c>
      <c r="T62" s="318">
        <v>89</v>
      </c>
      <c r="U62" s="318">
        <f>95+4</f>
        <v>99</v>
      </c>
      <c r="V62" s="276">
        <v>108</v>
      </c>
      <c r="W62" s="74">
        <v>109</v>
      </c>
      <c r="X62" s="5">
        <v>98</v>
      </c>
      <c r="Y62" s="5">
        <v>94</v>
      </c>
      <c r="Z62" s="74">
        <v>101</v>
      </c>
      <c r="AA62" s="74">
        <v>96</v>
      </c>
      <c r="AB62" s="74">
        <v>94</v>
      </c>
      <c r="AC62" s="74">
        <v>74</v>
      </c>
      <c r="AD62" s="74">
        <v>92</v>
      </c>
      <c r="AE62" s="75">
        <v>97</v>
      </c>
      <c r="AF62" s="229">
        <f t="shared" si="29"/>
        <v>5.434782608695652E-2</v>
      </c>
      <c r="AG62" s="230">
        <f t="shared" si="30"/>
        <v>-3.9603960396039604E-2</v>
      </c>
      <c r="AH62" s="231">
        <f t="shared" si="31"/>
        <v>-2.0202020202020204E-2</v>
      </c>
      <c r="AI62" s="125">
        <f t="shared" si="32"/>
        <v>87.666666666666671</v>
      </c>
      <c r="AJ62" s="369" t="str">
        <f t="shared" si="33"/>
        <v>No</v>
      </c>
      <c r="AK62" s="369" t="str">
        <f t="shared" si="34"/>
        <v>No</v>
      </c>
    </row>
    <row r="63" spans="1:169" ht="12" x14ac:dyDescent="0.2">
      <c r="A63" s="583" t="s">
        <v>18</v>
      </c>
      <c r="B63" s="110"/>
      <c r="C63" s="110"/>
      <c r="D63" s="110"/>
      <c r="E63" s="110"/>
      <c r="F63" s="110"/>
      <c r="G63" s="110"/>
      <c r="H63" s="94"/>
      <c r="I63" s="94"/>
      <c r="J63" s="110">
        <v>11</v>
      </c>
      <c r="K63" s="110">
        <v>37</v>
      </c>
      <c r="L63" s="110">
        <v>61</v>
      </c>
      <c r="M63" s="110">
        <v>54</v>
      </c>
      <c r="N63" s="94">
        <v>68</v>
      </c>
      <c r="O63" s="274">
        <v>100</v>
      </c>
      <c r="P63" s="274">
        <v>93</v>
      </c>
      <c r="Q63" s="327">
        <v>72</v>
      </c>
      <c r="R63" s="327">
        <f>47+3</f>
        <v>50</v>
      </c>
      <c r="S63" s="357">
        <f>51+2</f>
        <v>53</v>
      </c>
      <c r="T63" s="327">
        <v>57</v>
      </c>
      <c r="U63" s="327">
        <f>45+3</f>
        <v>48</v>
      </c>
      <c r="V63" s="282">
        <v>70</v>
      </c>
      <c r="W63" s="83">
        <v>72</v>
      </c>
      <c r="X63" s="94">
        <v>78</v>
      </c>
      <c r="Y63" s="94">
        <v>81</v>
      </c>
      <c r="Z63" s="83">
        <v>79</v>
      </c>
      <c r="AA63" s="83">
        <v>85</v>
      </c>
      <c r="AB63" s="83">
        <v>107</v>
      </c>
      <c r="AC63" s="83">
        <v>67</v>
      </c>
      <c r="AD63" s="83">
        <v>86</v>
      </c>
      <c r="AE63" s="82">
        <v>60</v>
      </c>
      <c r="AF63" s="557">
        <f t="shared" si="29"/>
        <v>-0.30232558139534882</v>
      </c>
      <c r="AG63" s="558">
        <f t="shared" si="30"/>
        <v>-0.24050632911392406</v>
      </c>
      <c r="AH63" s="559">
        <f t="shared" si="31"/>
        <v>0.25</v>
      </c>
      <c r="AI63" s="553">
        <f t="shared" si="32"/>
        <v>71</v>
      </c>
      <c r="AJ63" s="369" t="str">
        <f t="shared" si="33"/>
        <v>No</v>
      </c>
      <c r="AK63" s="369" t="str">
        <f t="shared" si="34"/>
        <v>No</v>
      </c>
    </row>
    <row r="64" spans="1:169" s="17" customFormat="1" ht="12.75" thickBot="1" x14ac:dyDescent="0.25">
      <c r="A64" s="422" t="s">
        <v>79</v>
      </c>
      <c r="B64" s="208">
        <f t="shared" ref="B64:AE64" si="35">SUM(B55:B63)</f>
        <v>209</v>
      </c>
      <c r="C64" s="208">
        <f t="shared" si="35"/>
        <v>193</v>
      </c>
      <c r="D64" s="208">
        <f t="shared" si="35"/>
        <v>212</v>
      </c>
      <c r="E64" s="208">
        <f t="shared" si="35"/>
        <v>246</v>
      </c>
      <c r="F64" s="208">
        <f t="shared" si="35"/>
        <v>232</v>
      </c>
      <c r="G64" s="208">
        <f t="shared" si="35"/>
        <v>206</v>
      </c>
      <c r="H64" s="208">
        <f t="shared" si="35"/>
        <v>294</v>
      </c>
      <c r="I64" s="208">
        <f t="shared" si="35"/>
        <v>272</v>
      </c>
      <c r="J64" s="208">
        <f t="shared" si="35"/>
        <v>295</v>
      </c>
      <c r="K64" s="208">
        <f t="shared" si="35"/>
        <v>256</v>
      </c>
      <c r="L64" s="208">
        <f t="shared" si="35"/>
        <v>266</v>
      </c>
      <c r="M64" s="208">
        <f t="shared" si="35"/>
        <v>293</v>
      </c>
      <c r="N64" s="208">
        <f t="shared" si="35"/>
        <v>307</v>
      </c>
      <c r="O64" s="283">
        <f t="shared" si="35"/>
        <v>335</v>
      </c>
      <c r="P64" s="283">
        <f t="shared" si="35"/>
        <v>399</v>
      </c>
      <c r="Q64" s="329">
        <f t="shared" si="35"/>
        <v>394</v>
      </c>
      <c r="R64" s="329">
        <f>SUM(R55:R63)</f>
        <v>330</v>
      </c>
      <c r="S64" s="329">
        <f t="shared" si="35"/>
        <v>356</v>
      </c>
      <c r="T64" s="329">
        <f t="shared" si="35"/>
        <v>328</v>
      </c>
      <c r="U64" s="329">
        <f t="shared" si="35"/>
        <v>358</v>
      </c>
      <c r="V64" s="209">
        <f t="shared" si="35"/>
        <v>376</v>
      </c>
      <c r="W64" s="208">
        <f t="shared" si="35"/>
        <v>387</v>
      </c>
      <c r="X64" s="208">
        <f t="shared" si="35"/>
        <v>423</v>
      </c>
      <c r="Y64" s="208">
        <f t="shared" si="35"/>
        <v>384</v>
      </c>
      <c r="Z64" s="208">
        <f t="shared" si="35"/>
        <v>380</v>
      </c>
      <c r="AA64" s="208">
        <f t="shared" si="35"/>
        <v>384</v>
      </c>
      <c r="AB64" s="208">
        <f t="shared" si="35"/>
        <v>402</v>
      </c>
      <c r="AC64" s="208">
        <f t="shared" si="35"/>
        <v>296</v>
      </c>
      <c r="AD64" s="208">
        <f t="shared" si="35"/>
        <v>345</v>
      </c>
      <c r="AE64" s="208">
        <f t="shared" si="35"/>
        <v>323</v>
      </c>
      <c r="AF64" s="210">
        <f>IF(AE64=0," ",IF(AI64&gt;20,(AE64-AD64)/AD64," "))</f>
        <v>-6.3768115942028983E-2</v>
      </c>
      <c r="AG64" s="211">
        <f t="shared" si="30"/>
        <v>-0.15</v>
      </c>
      <c r="AH64" s="212">
        <f t="shared" si="31"/>
        <v>-9.7765363128491614E-2</v>
      </c>
      <c r="AI64" s="213">
        <f t="shared" si="32"/>
        <v>321.33333333333331</v>
      </c>
      <c r="AJ64" s="89"/>
      <c r="AK64" s="91"/>
      <c r="AL64" s="91"/>
      <c r="AM64" s="91"/>
      <c r="AN64" s="91"/>
      <c r="AO64" s="91"/>
      <c r="AP64" s="91"/>
      <c r="AQ64" s="91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</row>
    <row r="65" spans="1:170" ht="12.75" thickTop="1" x14ac:dyDescent="0.2">
      <c r="A65" s="423" t="s">
        <v>80</v>
      </c>
      <c r="B65" s="202"/>
      <c r="C65" s="203"/>
      <c r="D65" s="203"/>
      <c r="E65" s="202"/>
      <c r="F65" s="204"/>
      <c r="G65" s="204"/>
      <c r="H65" s="204"/>
      <c r="I65" s="202"/>
      <c r="J65" s="202"/>
      <c r="K65" s="202"/>
      <c r="L65" s="202"/>
      <c r="M65" s="202"/>
      <c r="N65" s="202"/>
      <c r="O65" s="205"/>
      <c r="P65" s="286"/>
      <c r="Q65" s="205"/>
      <c r="R65" s="205"/>
      <c r="S65" s="205"/>
      <c r="T65" s="205"/>
      <c r="U65" s="205"/>
      <c r="V65" s="205"/>
      <c r="W65" s="205"/>
      <c r="X65" s="206"/>
      <c r="Y65" s="206"/>
      <c r="Z65" s="206"/>
      <c r="AA65" s="206"/>
      <c r="AB65" s="206"/>
      <c r="AC65" s="206"/>
      <c r="AD65" s="206"/>
      <c r="AE65" s="206"/>
      <c r="AF65" s="206"/>
      <c r="AG65" s="207"/>
      <c r="AH65" s="207"/>
      <c r="AI65" s="218"/>
      <c r="AJ65" s="90"/>
      <c r="AK65" s="95"/>
      <c r="AL65" s="95"/>
      <c r="AM65" s="95"/>
      <c r="AN65" s="95"/>
      <c r="AO65" s="95"/>
      <c r="AP65" s="95"/>
      <c r="AQ65" s="95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</row>
    <row r="66" spans="1:170" ht="12" x14ac:dyDescent="0.2">
      <c r="A66" s="555" t="s">
        <v>8</v>
      </c>
      <c r="B66" s="100"/>
      <c r="C66" s="100">
        <v>0</v>
      </c>
      <c r="D66" s="100"/>
      <c r="E66" s="100">
        <v>0</v>
      </c>
      <c r="F66" s="100">
        <v>0</v>
      </c>
      <c r="G66" s="100">
        <v>0</v>
      </c>
      <c r="H66" s="93">
        <v>0</v>
      </c>
      <c r="I66" s="93">
        <v>0</v>
      </c>
      <c r="J66" s="100">
        <v>0</v>
      </c>
      <c r="K66" s="100">
        <v>0</v>
      </c>
      <c r="L66" s="100">
        <v>12</v>
      </c>
      <c r="M66" s="100">
        <v>22</v>
      </c>
      <c r="N66" s="93">
        <v>28</v>
      </c>
      <c r="O66" s="265">
        <v>34</v>
      </c>
      <c r="P66" s="265">
        <v>43</v>
      </c>
      <c r="Q66" s="324">
        <v>36</v>
      </c>
      <c r="R66" s="324">
        <f>43+2</f>
        <v>45</v>
      </c>
      <c r="S66" s="351">
        <v>39</v>
      </c>
      <c r="T66" s="324">
        <v>56</v>
      </c>
      <c r="U66" s="324">
        <f>70+1</f>
        <v>71</v>
      </c>
      <c r="V66" s="280">
        <v>42</v>
      </c>
      <c r="W66" s="92">
        <f>55+2</f>
        <v>57</v>
      </c>
      <c r="X66" s="93">
        <v>59</v>
      </c>
      <c r="Y66" s="93">
        <v>48</v>
      </c>
      <c r="Z66" s="92">
        <v>39</v>
      </c>
      <c r="AA66" s="92">
        <v>48</v>
      </c>
      <c r="AB66" s="92">
        <v>58</v>
      </c>
      <c r="AC66" s="92">
        <v>49</v>
      </c>
      <c r="AD66" s="92">
        <v>56</v>
      </c>
      <c r="AE66" s="101">
        <v>36</v>
      </c>
      <c r="AF66" s="114">
        <f t="shared" ref="AF66:AF72" si="36">IF(AE66=0," ",IF(AI66&gt;20,(AE66-AD66)/AD66," "))</f>
        <v>-0.35714285714285715</v>
      </c>
      <c r="AG66" s="235">
        <f t="shared" ref="AG66:AG72" si="37">IF(AE66=0," ",IF(AI66&gt;20,(AE66-Z66)/Z66," "))</f>
        <v>-7.6923076923076927E-2</v>
      </c>
      <c r="AH66" s="236">
        <f t="shared" ref="AH66:AH72" si="38">IF(AE66=0," ",(IF(AI66&gt;20,(AE66-U66)/U66," ")))</f>
        <v>-0.49295774647887325</v>
      </c>
      <c r="AI66" s="247">
        <f t="shared" ref="AI66:AI72" si="39">IF(AC66&gt;0,AVERAGE(AC66:AE66),"  ")</f>
        <v>47</v>
      </c>
      <c r="AJ66" s="369" t="str">
        <f t="shared" ref="AJ66:AJ71" si="40">IF(AE66&lt;5,"Yes","No")</f>
        <v>No</v>
      </c>
      <c r="AK66" s="369" t="str">
        <f t="shared" ref="AK66:AK71" si="41">IF((AC66+AD66+AE66)&lt;15,"Yes","No")</f>
        <v>No</v>
      </c>
    </row>
    <row r="67" spans="1:170" ht="12" x14ac:dyDescent="0.2">
      <c r="A67" s="408" t="s">
        <v>9</v>
      </c>
      <c r="B67" s="73">
        <v>163</v>
      </c>
      <c r="C67" s="73">
        <v>161</v>
      </c>
      <c r="D67" s="73">
        <v>185</v>
      </c>
      <c r="E67" s="73">
        <v>160</v>
      </c>
      <c r="F67" s="73">
        <v>167</v>
      </c>
      <c r="G67" s="73">
        <v>137</v>
      </c>
      <c r="H67" s="5">
        <v>168</v>
      </c>
      <c r="I67" s="5">
        <v>169</v>
      </c>
      <c r="J67" s="73">
        <v>194</v>
      </c>
      <c r="K67" s="73">
        <v>145</v>
      </c>
      <c r="L67" s="73">
        <v>108</v>
      </c>
      <c r="M67" s="73">
        <v>129</v>
      </c>
      <c r="N67" s="5">
        <v>113</v>
      </c>
      <c r="O67" s="266">
        <v>98</v>
      </c>
      <c r="P67" s="266">
        <v>97</v>
      </c>
      <c r="Q67" s="318">
        <v>93</v>
      </c>
      <c r="R67" s="318">
        <f>96+4</f>
        <v>100</v>
      </c>
      <c r="S67" s="352">
        <f>113+3</f>
        <v>116</v>
      </c>
      <c r="T67" s="318">
        <v>117</v>
      </c>
      <c r="U67" s="318">
        <f>115+9</f>
        <v>124</v>
      </c>
      <c r="V67" s="276">
        <v>102</v>
      </c>
      <c r="W67" s="74">
        <v>122</v>
      </c>
      <c r="X67" s="5">
        <v>113</v>
      </c>
      <c r="Y67" s="5">
        <v>81</v>
      </c>
      <c r="Z67" s="74">
        <v>90</v>
      </c>
      <c r="AA67" s="74">
        <v>77</v>
      </c>
      <c r="AB67" s="74">
        <v>49</v>
      </c>
      <c r="AC67" s="74">
        <v>76</v>
      </c>
      <c r="AD67" s="74">
        <v>78</v>
      </c>
      <c r="AE67" s="75">
        <v>67</v>
      </c>
      <c r="AF67" s="229">
        <f t="shared" si="36"/>
        <v>-0.14102564102564102</v>
      </c>
      <c r="AG67" s="230">
        <f t="shared" si="37"/>
        <v>-0.25555555555555554</v>
      </c>
      <c r="AH67" s="231">
        <f t="shared" si="38"/>
        <v>-0.45967741935483869</v>
      </c>
      <c r="AI67" s="125">
        <f t="shared" si="39"/>
        <v>73.666666666666671</v>
      </c>
      <c r="AJ67" s="369" t="str">
        <f t="shared" si="40"/>
        <v>No</v>
      </c>
      <c r="AK67" s="369" t="str">
        <f t="shared" si="41"/>
        <v>No</v>
      </c>
    </row>
    <row r="68" spans="1:170" ht="15" x14ac:dyDescent="0.25">
      <c r="A68" s="560" t="s">
        <v>174</v>
      </c>
      <c r="B68" s="77"/>
      <c r="C68" s="77"/>
      <c r="D68" s="77"/>
      <c r="E68" s="77"/>
      <c r="F68" s="77"/>
      <c r="G68" s="77"/>
      <c r="H68" s="7"/>
      <c r="I68" s="7"/>
      <c r="J68" s="77"/>
      <c r="K68" s="77"/>
      <c r="L68" s="77"/>
      <c r="M68" s="77"/>
      <c r="N68" s="7"/>
      <c r="O68" s="267"/>
      <c r="P68" s="267"/>
      <c r="Q68" s="319"/>
      <c r="R68" s="319"/>
      <c r="S68" s="353"/>
      <c r="T68" s="319"/>
      <c r="U68" s="319">
        <v>0</v>
      </c>
      <c r="V68" s="277"/>
      <c r="W68" s="78"/>
      <c r="X68" s="7"/>
      <c r="Y68" s="7"/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9">
        <v>3</v>
      </c>
      <c r="AF68" s="232"/>
      <c r="AG68" s="233"/>
      <c r="AH68" s="234"/>
      <c r="AI68" s="246" t="str">
        <f t="shared" si="39"/>
        <v xml:space="preserve">  </v>
      </c>
      <c r="AJ68" s="373" t="str">
        <f t="shared" si="40"/>
        <v>Yes</v>
      </c>
      <c r="AK68" s="373" t="str">
        <f t="shared" si="41"/>
        <v>Yes</v>
      </c>
      <c r="AL68" s="373" t="s">
        <v>118</v>
      </c>
      <c r="AM68" s="373"/>
      <c r="AN68" s="373"/>
    </row>
    <row r="69" spans="1:170" ht="15" x14ac:dyDescent="0.25">
      <c r="A69" s="408" t="s">
        <v>155</v>
      </c>
      <c r="B69" s="73">
        <v>0</v>
      </c>
      <c r="C69" s="73">
        <v>0</v>
      </c>
      <c r="D69" s="73"/>
      <c r="E69" s="73">
        <v>0</v>
      </c>
      <c r="F69" s="73">
        <v>0</v>
      </c>
      <c r="G69" s="73">
        <v>0</v>
      </c>
      <c r="H69" s="5">
        <v>0</v>
      </c>
      <c r="I69" s="5">
        <v>0</v>
      </c>
      <c r="J69" s="73">
        <v>0</v>
      </c>
      <c r="K69" s="73">
        <v>1</v>
      </c>
      <c r="L69" s="73">
        <v>7</v>
      </c>
      <c r="M69" s="73">
        <v>4</v>
      </c>
      <c r="N69" s="5">
        <v>2</v>
      </c>
      <c r="O69" s="266">
        <v>3</v>
      </c>
      <c r="P69" s="266">
        <v>5</v>
      </c>
      <c r="Q69" s="318">
        <v>4</v>
      </c>
      <c r="R69" s="318">
        <f>14+1</f>
        <v>15</v>
      </c>
      <c r="S69" s="352">
        <v>19</v>
      </c>
      <c r="T69" s="318">
        <v>22</v>
      </c>
      <c r="U69" s="318">
        <f>14+1</f>
        <v>15</v>
      </c>
      <c r="V69" s="276">
        <v>26</v>
      </c>
      <c r="W69" s="74">
        <f>26+1</f>
        <v>27</v>
      </c>
      <c r="X69" s="5">
        <v>12</v>
      </c>
      <c r="Y69" s="5">
        <v>1</v>
      </c>
      <c r="Z69" s="594"/>
      <c r="AA69" s="594"/>
      <c r="AB69" s="594"/>
      <c r="AC69" s="594"/>
      <c r="AD69" s="594"/>
      <c r="AE69" s="595"/>
      <c r="AF69" s="229" t="str">
        <f t="shared" si="36"/>
        <v xml:space="preserve"> </v>
      </c>
      <c r="AG69" s="230" t="str">
        <f t="shared" si="37"/>
        <v xml:space="preserve"> </v>
      </c>
      <c r="AH69" s="231" t="str">
        <f t="shared" si="38"/>
        <v xml:space="preserve"> </v>
      </c>
      <c r="AI69" s="125" t="str">
        <f t="shared" si="39"/>
        <v xml:space="preserve">  </v>
      </c>
      <c r="AJ69" s="361" t="str">
        <f t="shared" si="40"/>
        <v>Yes</v>
      </c>
      <c r="AK69" s="361" t="str">
        <f t="shared" si="41"/>
        <v>Yes</v>
      </c>
      <c r="AL69" s="360" t="s">
        <v>113</v>
      </c>
    </row>
    <row r="70" spans="1:170" ht="12" x14ac:dyDescent="0.2">
      <c r="A70" s="408" t="s">
        <v>154</v>
      </c>
      <c r="B70" s="73"/>
      <c r="C70" s="73"/>
      <c r="D70" s="73"/>
      <c r="E70" s="73"/>
      <c r="F70" s="73"/>
      <c r="G70" s="73"/>
      <c r="H70" s="5"/>
      <c r="I70" s="5"/>
      <c r="J70" s="73"/>
      <c r="K70" s="73"/>
      <c r="L70" s="73"/>
      <c r="M70" s="73"/>
      <c r="N70" s="5"/>
      <c r="O70" s="266"/>
      <c r="P70" s="266"/>
      <c r="Q70" s="318"/>
      <c r="R70" s="318">
        <v>0</v>
      </c>
      <c r="S70" s="352"/>
      <c r="T70" s="318">
        <v>0</v>
      </c>
      <c r="U70" s="592"/>
      <c r="V70" s="276"/>
      <c r="W70" s="74">
        <v>0</v>
      </c>
      <c r="X70" s="5">
        <v>0</v>
      </c>
      <c r="Y70" s="5">
        <v>0</v>
      </c>
      <c r="Z70" s="593"/>
      <c r="AA70" s="74">
        <v>1</v>
      </c>
      <c r="AB70" s="74">
        <v>0</v>
      </c>
      <c r="AC70" s="74">
        <v>5</v>
      </c>
      <c r="AD70" s="74">
        <v>7</v>
      </c>
      <c r="AE70" s="75">
        <v>13</v>
      </c>
      <c r="AF70" s="229" t="str">
        <f t="shared" si="36"/>
        <v xml:space="preserve"> </v>
      </c>
      <c r="AG70" s="230" t="str">
        <f t="shared" si="37"/>
        <v xml:space="preserve"> </v>
      </c>
      <c r="AH70" s="231" t="str">
        <f t="shared" si="38"/>
        <v xml:space="preserve"> </v>
      </c>
      <c r="AI70" s="125">
        <f t="shared" si="39"/>
        <v>8.3333333333333339</v>
      </c>
      <c r="AJ70" s="369" t="str">
        <f t="shared" si="40"/>
        <v>No</v>
      </c>
      <c r="AK70" s="369" t="str">
        <f t="shared" si="41"/>
        <v>No</v>
      </c>
    </row>
    <row r="71" spans="1:170" ht="12" x14ac:dyDescent="0.2">
      <c r="A71" s="556" t="s">
        <v>22</v>
      </c>
      <c r="B71" s="110">
        <v>38</v>
      </c>
      <c r="C71" s="110">
        <v>48</v>
      </c>
      <c r="D71" s="110">
        <v>68</v>
      </c>
      <c r="E71" s="110">
        <v>56</v>
      </c>
      <c r="F71" s="110">
        <v>52</v>
      </c>
      <c r="G71" s="110">
        <v>63</v>
      </c>
      <c r="H71" s="94">
        <v>62</v>
      </c>
      <c r="I71" s="94">
        <v>63</v>
      </c>
      <c r="J71" s="110">
        <v>37</v>
      </c>
      <c r="K71" s="110">
        <v>38</v>
      </c>
      <c r="L71" s="110">
        <v>34</v>
      </c>
      <c r="M71" s="110">
        <v>41</v>
      </c>
      <c r="N71" s="94">
        <v>43</v>
      </c>
      <c r="O71" s="274">
        <v>30</v>
      </c>
      <c r="P71" s="274">
        <v>28</v>
      </c>
      <c r="Q71" s="327">
        <v>37</v>
      </c>
      <c r="R71" s="327">
        <v>38</v>
      </c>
      <c r="S71" s="357">
        <v>29</v>
      </c>
      <c r="T71" s="327">
        <v>44</v>
      </c>
      <c r="U71" s="327">
        <v>40</v>
      </c>
      <c r="V71" s="282">
        <v>22</v>
      </c>
      <c r="W71" s="83">
        <v>21</v>
      </c>
      <c r="X71" s="94">
        <v>31</v>
      </c>
      <c r="Y71" s="94">
        <v>22</v>
      </c>
      <c r="Z71" s="83">
        <v>18</v>
      </c>
      <c r="AA71" s="83">
        <v>25</v>
      </c>
      <c r="AB71" s="83">
        <v>25</v>
      </c>
      <c r="AC71" s="83">
        <v>35</v>
      </c>
      <c r="AD71" s="83">
        <v>18</v>
      </c>
      <c r="AE71" s="82">
        <v>30</v>
      </c>
      <c r="AF71" s="557">
        <f t="shared" si="36"/>
        <v>0.66666666666666663</v>
      </c>
      <c r="AG71" s="558">
        <f t="shared" si="37"/>
        <v>0.66666666666666663</v>
      </c>
      <c r="AH71" s="559">
        <f t="shared" si="38"/>
        <v>-0.25</v>
      </c>
      <c r="AI71" s="553">
        <f t="shared" si="39"/>
        <v>27.666666666666668</v>
      </c>
      <c r="AJ71" s="369" t="str">
        <f t="shared" si="40"/>
        <v>No</v>
      </c>
      <c r="AK71" s="369" t="str">
        <f t="shared" si="41"/>
        <v>No</v>
      </c>
    </row>
    <row r="72" spans="1:170" s="17" customFormat="1" ht="12.75" thickBot="1" x14ac:dyDescent="0.25">
      <c r="A72" s="424" t="s">
        <v>81</v>
      </c>
      <c r="B72" s="115">
        <f t="shared" ref="B72:AE72" si="42">SUM(B66:B71)</f>
        <v>201</v>
      </c>
      <c r="C72" s="115">
        <f t="shared" si="42"/>
        <v>209</v>
      </c>
      <c r="D72" s="115">
        <f t="shared" si="42"/>
        <v>253</v>
      </c>
      <c r="E72" s="115">
        <f t="shared" si="42"/>
        <v>216</v>
      </c>
      <c r="F72" s="115">
        <f t="shared" si="42"/>
        <v>219</v>
      </c>
      <c r="G72" s="115">
        <f t="shared" si="42"/>
        <v>200</v>
      </c>
      <c r="H72" s="115">
        <f t="shared" si="42"/>
        <v>230</v>
      </c>
      <c r="I72" s="115">
        <f t="shared" si="42"/>
        <v>232</v>
      </c>
      <c r="J72" s="115">
        <f t="shared" si="42"/>
        <v>231</v>
      </c>
      <c r="K72" s="115">
        <f t="shared" si="42"/>
        <v>184</v>
      </c>
      <c r="L72" s="115">
        <f t="shared" si="42"/>
        <v>161</v>
      </c>
      <c r="M72" s="115">
        <f t="shared" si="42"/>
        <v>196</v>
      </c>
      <c r="N72" s="115">
        <f t="shared" si="42"/>
        <v>186</v>
      </c>
      <c r="O72" s="284">
        <f t="shared" si="42"/>
        <v>165</v>
      </c>
      <c r="P72" s="284">
        <f t="shared" si="42"/>
        <v>173</v>
      </c>
      <c r="Q72" s="330">
        <f t="shared" si="42"/>
        <v>170</v>
      </c>
      <c r="R72" s="330">
        <f t="shared" si="42"/>
        <v>198</v>
      </c>
      <c r="S72" s="330">
        <f t="shared" si="42"/>
        <v>203</v>
      </c>
      <c r="T72" s="330">
        <f t="shared" si="42"/>
        <v>239</v>
      </c>
      <c r="U72" s="330">
        <f t="shared" si="42"/>
        <v>250</v>
      </c>
      <c r="V72" s="183">
        <f t="shared" si="42"/>
        <v>192</v>
      </c>
      <c r="W72" s="115">
        <f t="shared" si="42"/>
        <v>227</v>
      </c>
      <c r="X72" s="115">
        <f t="shared" si="42"/>
        <v>215</v>
      </c>
      <c r="Y72" s="115">
        <f t="shared" si="42"/>
        <v>152</v>
      </c>
      <c r="Z72" s="115">
        <f t="shared" si="42"/>
        <v>147</v>
      </c>
      <c r="AA72" s="115">
        <f t="shared" si="42"/>
        <v>151</v>
      </c>
      <c r="AB72" s="115">
        <f t="shared" si="42"/>
        <v>132</v>
      </c>
      <c r="AC72" s="115">
        <f t="shared" si="42"/>
        <v>165</v>
      </c>
      <c r="AD72" s="115">
        <f t="shared" si="42"/>
        <v>159</v>
      </c>
      <c r="AE72" s="115">
        <f t="shared" si="42"/>
        <v>149</v>
      </c>
      <c r="AF72" s="214">
        <f t="shared" si="36"/>
        <v>-6.2893081761006289E-2</v>
      </c>
      <c r="AG72" s="214">
        <f t="shared" si="37"/>
        <v>1.3605442176870748E-2</v>
      </c>
      <c r="AH72" s="214">
        <f t="shared" si="38"/>
        <v>-0.40400000000000003</v>
      </c>
      <c r="AI72" s="115">
        <f t="shared" si="39"/>
        <v>157.66666666666666</v>
      </c>
      <c r="AJ72" s="89"/>
      <c r="AK72" s="91"/>
      <c r="AL72" s="91"/>
      <c r="AM72" s="91"/>
      <c r="AN72" s="91"/>
      <c r="AO72" s="91"/>
      <c r="AP72" s="91"/>
      <c r="AQ72" s="91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</row>
    <row r="73" spans="1:170" ht="13.5" thickTop="1" thickBot="1" x14ac:dyDescent="0.25">
      <c r="A73" s="425" t="s">
        <v>82</v>
      </c>
      <c r="B73" s="31">
        <f t="shared" ref="B73:AD73" si="43">+B72+B64+B53+B39+B17</f>
        <v>1006</v>
      </c>
      <c r="C73" s="31">
        <f t="shared" si="43"/>
        <v>1073</v>
      </c>
      <c r="D73" s="31">
        <f t="shared" si="43"/>
        <v>1135</v>
      </c>
      <c r="E73" s="31">
        <f t="shared" si="43"/>
        <v>1185</v>
      </c>
      <c r="F73" s="31">
        <f t="shared" si="43"/>
        <v>1107</v>
      </c>
      <c r="G73" s="31">
        <f t="shared" si="43"/>
        <v>991</v>
      </c>
      <c r="H73" s="31">
        <f t="shared" si="43"/>
        <v>1216</v>
      </c>
      <c r="I73" s="31">
        <f t="shared" si="43"/>
        <v>1231</v>
      </c>
      <c r="J73" s="31">
        <f t="shared" si="43"/>
        <v>1352</v>
      </c>
      <c r="K73" s="31">
        <f t="shared" si="43"/>
        <v>1299</v>
      </c>
      <c r="L73" s="31">
        <f t="shared" si="43"/>
        <v>1313</v>
      </c>
      <c r="M73" s="31">
        <f t="shared" si="43"/>
        <v>1400</v>
      </c>
      <c r="N73" s="31">
        <f t="shared" si="43"/>
        <v>1439</v>
      </c>
      <c r="O73" s="285">
        <f t="shared" si="43"/>
        <v>1553</v>
      </c>
      <c r="P73" s="285">
        <f t="shared" si="43"/>
        <v>1608</v>
      </c>
      <c r="Q73" s="331">
        <f t="shared" si="43"/>
        <v>1661</v>
      </c>
      <c r="R73" s="331">
        <f t="shared" si="43"/>
        <v>1709</v>
      </c>
      <c r="S73" s="331">
        <f t="shared" si="43"/>
        <v>1787</v>
      </c>
      <c r="T73" s="331">
        <f t="shared" si="43"/>
        <v>1872</v>
      </c>
      <c r="U73" s="331">
        <f t="shared" si="43"/>
        <v>1899</v>
      </c>
      <c r="V73" s="184">
        <f t="shared" si="43"/>
        <v>1935</v>
      </c>
      <c r="W73" s="31">
        <f t="shared" si="43"/>
        <v>1967</v>
      </c>
      <c r="X73" s="31">
        <f t="shared" si="43"/>
        <v>2026</v>
      </c>
      <c r="Y73" s="31">
        <f t="shared" si="43"/>
        <v>1872</v>
      </c>
      <c r="Z73" s="31">
        <f t="shared" si="43"/>
        <v>1805</v>
      </c>
      <c r="AA73" s="31">
        <f t="shared" si="43"/>
        <v>1907</v>
      </c>
      <c r="AB73" s="31">
        <f t="shared" si="43"/>
        <v>1842</v>
      </c>
      <c r="AC73" s="31">
        <f t="shared" si="43"/>
        <v>1664</v>
      </c>
      <c r="AD73" s="31">
        <f t="shared" si="43"/>
        <v>1605</v>
      </c>
      <c r="AE73" s="31">
        <f>+AE72+AE64+AE53+AE39+AE17</f>
        <v>1468</v>
      </c>
      <c r="AF73" s="116">
        <f>IF(AE73=0," ",IF(AI73&gt;20,(AE73-AD73)/AD73," "))</f>
        <v>-8.5358255451713397E-2</v>
      </c>
      <c r="AG73" s="116">
        <f t="shared" ref="AG73" si="44">IF(AE73=0," ",IF(AI73&gt;20,(AE73-Y73)/Y73," "))</f>
        <v>-0.21581196581196582</v>
      </c>
      <c r="AH73" s="117">
        <f t="shared" ref="AH73" si="45">IF(AE73=0," ",(IF(AI73&gt;20,(AE73-T73)/T73," ")))</f>
        <v>-0.21581196581196582</v>
      </c>
      <c r="AI73" s="215">
        <f t="shared" ref="AI73" si="46">IF(AB73&gt;0,AVERAGE(AB73:AE73),"  ")</f>
        <v>1644.75</v>
      </c>
      <c r="AJ73" s="90"/>
      <c r="AK73" s="95"/>
      <c r="AL73" s="95"/>
      <c r="AM73" s="95"/>
      <c r="AN73" s="95"/>
      <c r="AO73" s="95"/>
      <c r="AP73" s="95"/>
      <c r="AQ73" s="95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</row>
    <row r="74" spans="1:170" ht="12.75" thickTop="1" x14ac:dyDescent="0.2">
      <c r="A74" s="426"/>
      <c r="B74" s="32"/>
      <c r="C74" s="32"/>
      <c r="D74" s="33"/>
      <c r="E74" s="33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79"/>
      <c r="Z74" s="179"/>
      <c r="AA74" s="179"/>
      <c r="AB74" s="179"/>
      <c r="AC74" s="179"/>
      <c r="AD74" s="179"/>
      <c r="AE74" s="179"/>
      <c r="AF74" s="179"/>
      <c r="AG74" s="34"/>
      <c r="AH74" s="32"/>
      <c r="AI74" s="35"/>
      <c r="AJ74" s="90"/>
      <c r="AK74" s="90"/>
      <c r="AL74" s="95"/>
      <c r="AM74" s="95"/>
      <c r="AN74" s="95"/>
      <c r="AO74" s="95"/>
      <c r="AP74" s="95"/>
      <c r="AQ74" s="95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</row>
  </sheetData>
  <mergeCells count="9">
    <mergeCell ref="A5:AI5"/>
    <mergeCell ref="A6:AI6"/>
    <mergeCell ref="A7:AI7"/>
    <mergeCell ref="A1:AI1"/>
    <mergeCell ref="A3:A4"/>
    <mergeCell ref="AF3:AF4"/>
    <mergeCell ref="AG3:AG4"/>
    <mergeCell ref="AH3:AH4"/>
    <mergeCell ref="AI3:AI4"/>
  </mergeCells>
  <printOptions horizontalCentered="1"/>
  <pageMargins left="0.5" right="0.5" top="0.48" bottom="0.5" header="0.5" footer="0.25"/>
  <pageSetup scale="77" orientation="portrait" r:id="rId1"/>
  <headerFooter alignWithMargins="0">
    <oddFooter>&amp;L&amp;"Times New Roman,Regular"&amp;9Source: MHEC DIS&amp;C&amp;"Times New Roman,Regular"&amp;10C-6.0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C-6</vt:lpstr>
      <vt:lpstr>UG ranked_2024</vt:lpstr>
      <vt:lpstr>Low_Productivity_2024</vt:lpstr>
      <vt:lpstr>'C-6'!Print_Area</vt:lpstr>
      <vt:lpstr>Low_Productivity_2024!Print_Area</vt:lpstr>
      <vt:lpstr>'UG ranked_2024'!Print_Area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Robin Gunzelman</cp:lastModifiedBy>
  <cp:lastPrinted>2024-09-04T17:00:06Z</cp:lastPrinted>
  <dcterms:created xsi:type="dcterms:W3CDTF">2005-10-04T15:11:02Z</dcterms:created>
  <dcterms:modified xsi:type="dcterms:W3CDTF">2024-09-04T17:00:49Z</dcterms:modified>
</cp:coreProperties>
</file>